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90" windowWidth="20730" windowHeight="11760" activeTab="4"/>
  </bookViews>
  <sheets>
    <sheet name="Izvori podataka" sheetId="5" r:id="rId1"/>
    <sheet name="Vrste postupaka" sheetId="2" r:id="rId2"/>
    <sheet name="2015" sheetId="7" r:id="rId3"/>
    <sheet name="2016" sheetId="1" r:id="rId4"/>
    <sheet name="Grafovi" sheetId="6" r:id="rId5"/>
    <sheet name="Options" sheetId="8" state="hidden" r:id="rId6"/>
    <sheet name="Translation" sheetId="9" state="hidden" r:id="rId7"/>
  </sheets>
  <definedNames>
    <definedName name="__IntlFixup" hidden="1">TRUE</definedName>
    <definedName name="Active_lvl0" localSheetId="6">CHOOSE(Options!$D$2,Translation!National_lvl0,Translation!EU_lvl0)</definedName>
    <definedName name="Active_lvl1" localSheetId="6">CHOOSE(Options!$D$2,Translation!National_lvl1,Translation!EU_lvl1)</definedName>
    <definedName name="CEPEJ_Categories" localSheetId="6">Translation!$G$11:$H$17</definedName>
    <definedName name="Court_Types" localSheetId="6">Translation!$B$11:$C$19</definedName>
    <definedName name="EU_Adm_lvl1" localSheetId="6">Translation!$N$35:$R$45</definedName>
    <definedName name="EU_Civ_lvl1" localSheetId="6">Translation!$H$35:$L$45</definedName>
    <definedName name="EU_Com_lvl1" localSheetId="6">Translation!$Z$35:$AD$45</definedName>
    <definedName name="EU_Cri_lvl1" localSheetId="6">Translation!$B$35:$F$45</definedName>
    <definedName name="EU_Enf_lvl1" localSheetId="6">Translation!$T$35:$X$45</definedName>
    <definedName name="EU_LR_lvl1" localSheetId="6">Translation!$AL$35:$AP$45</definedName>
    <definedName name="EU_lvl0" localSheetId="6">Translation!$G$4:$J$17</definedName>
    <definedName name="EU_lvl1" localSheetId="6">CHOOSE(Options!$D$10,Translation!EU_Cri_lvl1,Translation!EU_Civ_lvl1,Translation!EU_Adm_lvl1,Translation!EU_Enf_lvl1,Translation!EU_Com_lvl1,Translation!EU_Mis_lvl1,Translation!EU_LR_lvl1)</definedName>
    <definedName name="EU_Mis_lvl1" localSheetId="6">Translation!$AF$35:$AJ$45</definedName>
    <definedName name="lvl0_Axis_Titles" localSheetId="4">Grafovi!$S$11:INDEX(Grafovi!$S$11:$S$19,Grafovi!RowCount)</definedName>
    <definedName name="lvl0_Series1" localSheetId="4">Grafovi!$U$11:INDEX(Grafovi!$U$11:$U$19,Grafovi!RowCount)</definedName>
    <definedName name="lvl0_Series2" localSheetId="4">Grafovi!$V$11:INDEX(Grafovi!$V$11:$V$19,Grafovi!RowCount)</definedName>
    <definedName name="lvl1_Data_Picker" localSheetId="6">CHOOSE(Options!$D$2,Translation!Court_Types,Translation!CEPEJ_Categories)</definedName>
    <definedName name="National_lvl0" localSheetId="6">Translation!$B$4:$E$19</definedName>
    <definedName name="National_lvl1" localSheetId="6">CHOOSE(Options!$D$10,Translation!National_Op_lvl1,Translation!National_Zu_lvl1,Translation!National_Trg_lvl1,Translation!National_US_lvl1,Translation!National_VTSRH_lvl1,Translation!National_VUSRH_lvl1,Translation!National_VSRH_lvl1,Translation!National_PS_lvl1,Translation!National_VPSRH_lvl1)</definedName>
    <definedName name="National_Op_lvl1" localSheetId="6">Translation!$B$23:$F$33</definedName>
    <definedName name="National_PS_lvl1" localSheetId="6">Translation!$AR$23:$AV$33</definedName>
    <definedName name="National_Trg_lvl1" localSheetId="6">Translation!$N$23:$R$33</definedName>
    <definedName name="National_US_lvl1" localSheetId="6">Translation!$T$23:$X$33</definedName>
    <definedName name="National_VPSRH_lvl1" localSheetId="6">Translation!$AX$23:$BB$33</definedName>
    <definedName name="National_VSRH_lvl1" localSheetId="6">Translation!$AL$23:$AP$33</definedName>
    <definedName name="National_VTSRH_lvl1" localSheetId="6">Translation!$Z$23:$AD$33</definedName>
    <definedName name="National_VUSRH_lvl1" localSheetId="6">Translation!$AF$23:$AJ$33</definedName>
    <definedName name="National_Zu_lvl1" localSheetId="6">Translation!$H$23:$L$33</definedName>
    <definedName name="_xlnm.Print_Area" localSheetId="2">'2015'!$B$1:$AG$58,'2015'!$B$60:$AG$71</definedName>
    <definedName name="_xlnm.Print_Area" localSheetId="3">'2016'!$B$1:$AG$58,'2016'!$B$60:$AG$71</definedName>
    <definedName name="_xlnm.Print_Area" localSheetId="4">Grafovi!$B$37:$W$70,Grafovi!$B$2:$W$35</definedName>
    <definedName name="_xlnm.Print_Area" localSheetId="0">'Izvori podataka'!$B$1:$G$23</definedName>
    <definedName name="_xlnm.Print_Area" localSheetId="1">'Vrste postupaka'!$B$2:$F$17</definedName>
    <definedName name="RowCount" localSheetId="4">COUNT(Grafovi!$V$11:$V$19)</definedName>
  </definedNames>
  <calcPr calcId="144525"/>
</workbook>
</file>

<file path=xl/calcChain.xml><?xml version="1.0" encoding="utf-8"?>
<calcChain xmlns="http://schemas.openxmlformats.org/spreadsheetml/2006/main">
  <c r="Q10" i="1" l="1"/>
  <c r="J6" i="9" l="1"/>
  <c r="D68" i="1" l="1"/>
  <c r="R57" i="1" l="1"/>
  <c r="Q57" i="1"/>
  <c r="R55" i="1"/>
  <c r="Q55" i="1"/>
  <c r="R54" i="1"/>
  <c r="Q54" i="1"/>
  <c r="R49" i="1"/>
  <c r="Q49" i="1"/>
  <c r="R48" i="1"/>
  <c r="Q48" i="1"/>
  <c r="R47" i="1"/>
  <c r="Q47" i="1"/>
  <c r="R46" i="1"/>
  <c r="Q46" i="1"/>
  <c r="R44" i="1"/>
  <c r="Q44" i="1"/>
  <c r="R43" i="1"/>
  <c r="Q43" i="1"/>
  <c r="R42" i="1"/>
  <c r="Q42" i="1"/>
  <c r="R41" i="1"/>
  <c r="Q41" i="1"/>
  <c r="R39" i="1"/>
  <c r="Q39" i="1"/>
  <c r="R38" i="1"/>
  <c r="Q38" i="1"/>
  <c r="R37" i="1"/>
  <c r="Q37" i="1"/>
  <c r="R36" i="1"/>
  <c r="Q36" i="1"/>
  <c r="R35" i="1"/>
  <c r="Q35" i="1"/>
  <c r="R34" i="1"/>
  <c r="Q34" i="1"/>
  <c r="R33" i="1"/>
  <c r="Q33" i="1"/>
  <c r="R32" i="1"/>
  <c r="Q32" i="1"/>
  <c r="R29" i="1"/>
  <c r="Q29" i="1"/>
  <c r="R28" i="1"/>
  <c r="Q28" i="1"/>
  <c r="R27" i="1"/>
  <c r="Q27" i="1"/>
  <c r="R26" i="1"/>
  <c r="Q26" i="1"/>
  <c r="R25" i="1"/>
  <c r="Q25" i="1"/>
  <c r="R24" i="1"/>
  <c r="Q24" i="1"/>
  <c r="R23" i="1"/>
  <c r="Q23" i="1"/>
  <c r="R22" i="1"/>
  <c r="Q22" i="1"/>
  <c r="R21" i="1"/>
  <c r="Q21" i="1"/>
  <c r="R19" i="1"/>
  <c r="Q19" i="1"/>
  <c r="R18" i="1"/>
  <c r="Q18" i="1"/>
  <c r="R16" i="1"/>
  <c r="Q16" i="1"/>
  <c r="H57" i="1" l="1"/>
  <c r="H55" i="1"/>
  <c r="H54" i="1"/>
  <c r="AF54" i="1" s="1"/>
  <c r="H49" i="1"/>
  <c r="H48" i="1"/>
  <c r="H47" i="1"/>
  <c r="H46" i="1"/>
  <c r="H44" i="1"/>
  <c r="H43" i="1"/>
  <c r="H42" i="1"/>
  <c r="H41" i="1"/>
  <c r="H39" i="1"/>
  <c r="H38" i="1"/>
  <c r="H37" i="1"/>
  <c r="H36" i="1"/>
  <c r="H35" i="1"/>
  <c r="H34" i="1"/>
  <c r="H33" i="1"/>
  <c r="H32" i="1"/>
  <c r="H29" i="1"/>
  <c r="H28" i="1"/>
  <c r="H27" i="1"/>
  <c r="H26" i="1"/>
  <c r="H25" i="1"/>
  <c r="H24" i="1"/>
  <c r="H23" i="1"/>
  <c r="H22" i="1"/>
  <c r="H21" i="1"/>
  <c r="H19" i="1"/>
  <c r="H18" i="1"/>
  <c r="H16" i="1"/>
  <c r="R7" i="1" l="1"/>
  <c r="R15" i="1" l="1"/>
  <c r="Q15" i="1"/>
  <c r="R14" i="1"/>
  <c r="Q14" i="1"/>
  <c r="R13" i="1"/>
  <c r="Q13" i="1"/>
  <c r="R12" i="1"/>
  <c r="Q12" i="1"/>
  <c r="R11" i="1"/>
  <c r="Q11" i="1"/>
  <c r="R10" i="1"/>
  <c r="R9" i="1"/>
  <c r="Q9" i="1"/>
  <c r="Q6" i="1"/>
  <c r="R6" i="1"/>
  <c r="Q7" i="1"/>
  <c r="R5" i="1"/>
  <c r="Q5" i="1"/>
  <c r="H15" i="1"/>
  <c r="H14" i="1"/>
  <c r="H13" i="1"/>
  <c r="H12" i="1"/>
  <c r="H11" i="1"/>
  <c r="H10" i="1"/>
  <c r="H9" i="1"/>
  <c r="H6" i="1"/>
  <c r="H8" i="1" s="1"/>
  <c r="H7" i="1"/>
  <c r="H5" i="1"/>
  <c r="AD11" i="1"/>
  <c r="AE11" i="1"/>
  <c r="M40" i="1" l="1"/>
  <c r="AB11" i="1" l="1"/>
  <c r="AC11" i="1"/>
  <c r="E70" i="1" l="1"/>
  <c r="E68" i="1"/>
  <c r="K20" i="1" l="1"/>
  <c r="Z11" i="1" l="1"/>
  <c r="AA11" i="1"/>
  <c r="H20" i="7" l="1"/>
  <c r="G56" i="7" l="1"/>
  <c r="S50" i="7"/>
  <c r="E30" i="7"/>
  <c r="D30" i="7"/>
  <c r="H8" i="7"/>
  <c r="G8" i="7"/>
  <c r="BA24" i="9" l="1"/>
  <c r="BB24" i="9"/>
  <c r="AU24" i="9"/>
  <c r="AV24" i="9"/>
  <c r="AO36" i="9"/>
  <c r="AP36" i="9"/>
  <c r="AO24" i="9"/>
  <c r="AP24" i="9"/>
  <c r="AI36" i="9"/>
  <c r="AJ36" i="9"/>
  <c r="AI24" i="9"/>
  <c r="AJ24" i="9"/>
  <c r="AC24" i="9"/>
  <c r="AD24" i="9"/>
  <c r="AC36" i="9"/>
  <c r="AD36" i="9"/>
  <c r="W36" i="9"/>
  <c r="X36" i="9"/>
  <c r="W24" i="9"/>
  <c r="X24" i="9"/>
  <c r="Q24" i="9"/>
  <c r="R24" i="9"/>
  <c r="Q36" i="9"/>
  <c r="R36" i="9"/>
  <c r="K36" i="9"/>
  <c r="L36" i="9"/>
  <c r="E36" i="9"/>
  <c r="F36" i="9"/>
  <c r="K24" i="9"/>
  <c r="L24" i="9"/>
  <c r="AZ24" i="9"/>
  <c r="AT24" i="9"/>
  <c r="AN36" i="9"/>
  <c r="AN24" i="9"/>
  <c r="AH36" i="9"/>
  <c r="AH24" i="9"/>
  <c r="AB36" i="9"/>
  <c r="AB24" i="9"/>
  <c r="V36" i="9"/>
  <c r="V24" i="9"/>
  <c r="P36" i="9"/>
  <c r="P24" i="9"/>
  <c r="J36" i="9"/>
  <c r="J24" i="9"/>
  <c r="D36" i="9"/>
  <c r="BB25" i="9"/>
  <c r="AV25" i="9"/>
  <c r="AP37" i="9"/>
  <c r="AP25" i="9"/>
  <c r="AJ37" i="9"/>
  <c r="AJ25" i="9"/>
  <c r="AD37" i="9"/>
  <c r="AD25" i="9"/>
  <c r="X37" i="9"/>
  <c r="X25" i="9"/>
  <c r="R37" i="9"/>
  <c r="R25" i="9"/>
  <c r="L37" i="9"/>
  <c r="L25" i="9"/>
  <c r="F37" i="9"/>
  <c r="AU25" i="9"/>
  <c r="AO25" i="9"/>
  <c r="AO37" i="9"/>
  <c r="AI37" i="9"/>
  <c r="AI25" i="9"/>
  <c r="AC37" i="9"/>
  <c r="W37" i="9"/>
  <c r="Q37" i="9"/>
  <c r="K37" i="9"/>
  <c r="E37" i="9"/>
  <c r="AC25" i="9"/>
  <c r="W25" i="9"/>
  <c r="Q25" i="9"/>
  <c r="K25" i="9"/>
  <c r="BA25" i="9"/>
  <c r="AT25" i="9"/>
  <c r="AN37" i="9"/>
  <c r="AN25" i="9"/>
  <c r="AH25" i="9"/>
  <c r="AH37" i="9"/>
  <c r="D37" i="9"/>
  <c r="J37" i="9"/>
  <c r="P37" i="9"/>
  <c r="V37" i="9"/>
  <c r="AB37" i="9"/>
  <c r="AB25" i="9"/>
  <c r="V25" i="9"/>
  <c r="P25" i="9"/>
  <c r="J25" i="9"/>
  <c r="AZ25" i="9"/>
  <c r="I6" i="9"/>
  <c r="H36" i="9"/>
  <c r="N36" i="9"/>
  <c r="T36" i="9"/>
  <c r="Z36" i="9"/>
  <c r="AF36" i="9"/>
  <c r="AL36" i="9"/>
  <c r="AX24" i="9"/>
  <c r="AR24" i="9"/>
  <c r="AL24" i="9"/>
  <c r="AF24" i="9"/>
  <c r="Z24" i="9"/>
  <c r="T24" i="9"/>
  <c r="N24" i="9"/>
  <c r="H24" i="9"/>
  <c r="B36" i="9"/>
  <c r="J5" i="9"/>
  <c r="I5" i="9"/>
  <c r="G5" i="9"/>
  <c r="H25" i="9"/>
  <c r="H37" i="9"/>
  <c r="N37" i="9"/>
  <c r="T37" i="9"/>
  <c r="AX25" i="9"/>
  <c r="Z37" i="9"/>
  <c r="AF37" i="9"/>
  <c r="AL37" i="9"/>
  <c r="AR25" i="9"/>
  <c r="AL25" i="9"/>
  <c r="AF25" i="9"/>
  <c r="Z25" i="9"/>
  <c r="T25" i="9"/>
  <c r="N25" i="9"/>
  <c r="B37" i="9"/>
  <c r="B35" i="9"/>
  <c r="H35" i="9"/>
  <c r="N35" i="9"/>
  <c r="T35" i="9"/>
  <c r="Z35" i="9"/>
  <c r="AF35" i="9"/>
  <c r="AL35" i="9"/>
  <c r="AX23" i="9"/>
  <c r="AR23" i="9"/>
  <c r="AL23" i="9"/>
  <c r="AF23" i="9"/>
  <c r="Z23" i="9"/>
  <c r="T23" i="9"/>
  <c r="N23" i="9"/>
  <c r="H23" i="9"/>
  <c r="G4" i="9"/>
  <c r="N7" i="8"/>
  <c r="W63" i="1" l="1"/>
  <c r="Q63" i="1"/>
  <c r="H63" i="1"/>
  <c r="AF3" i="1"/>
  <c r="W4" i="1"/>
  <c r="Q4" i="1"/>
  <c r="AF62" i="1"/>
  <c r="E56" i="1"/>
  <c r="E69" i="1" s="1"/>
  <c r="F56" i="1"/>
  <c r="F69" i="1" s="1"/>
  <c r="G56" i="1"/>
  <c r="G69" i="1" s="1"/>
  <c r="H56" i="1"/>
  <c r="H69" i="1" s="1"/>
  <c r="I56" i="1"/>
  <c r="I69" i="1" s="1"/>
  <c r="J56" i="1"/>
  <c r="J69" i="1" s="1"/>
  <c r="K56" i="1"/>
  <c r="K69" i="1" s="1"/>
  <c r="L56" i="1"/>
  <c r="L69" i="1" s="1"/>
  <c r="M56" i="1"/>
  <c r="M69" i="1" s="1"/>
  <c r="N56" i="1"/>
  <c r="N69" i="1" s="1"/>
  <c r="O56" i="1"/>
  <c r="O69" i="1" s="1"/>
  <c r="P56" i="1"/>
  <c r="P69" i="1" s="1"/>
  <c r="Q56" i="1"/>
  <c r="Q69" i="1" s="1"/>
  <c r="R56" i="1"/>
  <c r="R69" i="1" s="1"/>
  <c r="S56" i="1"/>
  <c r="S69" i="1" s="1"/>
  <c r="T56" i="1"/>
  <c r="T69" i="1" s="1"/>
  <c r="U56" i="1"/>
  <c r="U69" i="1" s="1"/>
  <c r="V56" i="1"/>
  <c r="V69" i="1" s="1"/>
  <c r="W56" i="1"/>
  <c r="W69" i="1" s="1"/>
  <c r="E50" i="1"/>
  <c r="F50" i="1"/>
  <c r="G50" i="1"/>
  <c r="H50" i="1"/>
  <c r="I50" i="1"/>
  <c r="J50" i="1"/>
  <c r="K50" i="1"/>
  <c r="L50" i="1"/>
  <c r="M50" i="1"/>
  <c r="N50" i="1"/>
  <c r="O50" i="1"/>
  <c r="P50" i="1"/>
  <c r="Q50" i="1"/>
  <c r="R50" i="1"/>
  <c r="S50" i="1"/>
  <c r="T50" i="1"/>
  <c r="U50" i="1"/>
  <c r="V50" i="1"/>
  <c r="W50" i="1"/>
  <c r="D50" i="1"/>
  <c r="E45" i="1"/>
  <c r="E66" i="1" s="1"/>
  <c r="F45" i="1"/>
  <c r="G45" i="1"/>
  <c r="H45" i="1"/>
  <c r="I45" i="1"/>
  <c r="J45" i="1"/>
  <c r="K45" i="1"/>
  <c r="L45" i="1"/>
  <c r="M45" i="1"/>
  <c r="N45" i="1"/>
  <c r="O45" i="1"/>
  <c r="P45" i="1"/>
  <c r="Q45" i="1"/>
  <c r="R45" i="1"/>
  <c r="S45" i="1"/>
  <c r="T45" i="1"/>
  <c r="U45" i="1"/>
  <c r="V45" i="1"/>
  <c r="W45" i="1"/>
  <c r="E40" i="1"/>
  <c r="F40" i="1"/>
  <c r="G40" i="1"/>
  <c r="H40" i="1"/>
  <c r="I40" i="1"/>
  <c r="J40" i="1"/>
  <c r="K40" i="1"/>
  <c r="L40" i="1"/>
  <c r="N40" i="1"/>
  <c r="O40" i="1"/>
  <c r="P40" i="1"/>
  <c r="Q40" i="1"/>
  <c r="R40" i="1"/>
  <c r="S40" i="1"/>
  <c r="T40" i="1"/>
  <c r="U40" i="1"/>
  <c r="V40" i="1"/>
  <c r="W40" i="1"/>
  <c r="E30" i="1"/>
  <c r="E65" i="1" s="1"/>
  <c r="F30" i="1"/>
  <c r="G30" i="1"/>
  <c r="H30" i="1"/>
  <c r="I30" i="1"/>
  <c r="J30" i="1"/>
  <c r="K30" i="1"/>
  <c r="L30" i="1"/>
  <c r="M30" i="1"/>
  <c r="N30" i="1"/>
  <c r="O30" i="1"/>
  <c r="P30" i="1"/>
  <c r="Q30" i="1"/>
  <c r="R30" i="1"/>
  <c r="S30" i="1"/>
  <c r="T30" i="1"/>
  <c r="U30" i="1"/>
  <c r="V30" i="1"/>
  <c r="W30" i="1"/>
  <c r="D30" i="1"/>
  <c r="D65" i="1" s="1"/>
  <c r="E20" i="1"/>
  <c r="E31" i="1" s="1"/>
  <c r="F20" i="1"/>
  <c r="F31" i="1" s="1"/>
  <c r="G20" i="1"/>
  <c r="G31" i="1" s="1"/>
  <c r="H20" i="1"/>
  <c r="I20" i="1"/>
  <c r="I31" i="1" s="1"/>
  <c r="J20" i="1"/>
  <c r="J31" i="1" s="1"/>
  <c r="K31" i="1"/>
  <c r="L20" i="1"/>
  <c r="L31" i="1" s="1"/>
  <c r="M20" i="1"/>
  <c r="M31" i="1" s="1"/>
  <c r="N20" i="1"/>
  <c r="N31" i="1" s="1"/>
  <c r="O20" i="1"/>
  <c r="O31" i="1" s="1"/>
  <c r="P20" i="1"/>
  <c r="P31" i="1" s="1"/>
  <c r="Q20" i="1"/>
  <c r="Q31" i="1" s="1"/>
  <c r="R20" i="1"/>
  <c r="R31" i="1" s="1"/>
  <c r="S20" i="1"/>
  <c r="S31" i="1" s="1"/>
  <c r="T20" i="1"/>
  <c r="T31" i="1" s="1"/>
  <c r="U20" i="1"/>
  <c r="U31" i="1" s="1"/>
  <c r="V20" i="1"/>
  <c r="V31" i="1" s="1"/>
  <c r="W20" i="1"/>
  <c r="W31" i="1" s="1"/>
  <c r="E8" i="1"/>
  <c r="F8" i="1"/>
  <c r="F17" i="1" s="1"/>
  <c r="G8" i="1"/>
  <c r="G17" i="1" s="1"/>
  <c r="H17" i="1"/>
  <c r="I8" i="1"/>
  <c r="I17" i="1" s="1"/>
  <c r="J8" i="1"/>
  <c r="J17" i="1" s="1"/>
  <c r="K8" i="1"/>
  <c r="K17" i="1" s="1"/>
  <c r="L8" i="1"/>
  <c r="L17" i="1" s="1"/>
  <c r="M8" i="1"/>
  <c r="M17" i="1" s="1"/>
  <c r="N8" i="1"/>
  <c r="N17" i="1" s="1"/>
  <c r="O8" i="1"/>
  <c r="O17" i="1" s="1"/>
  <c r="P8" i="1"/>
  <c r="P17" i="1" s="1"/>
  <c r="Q8" i="1"/>
  <c r="Q17" i="1" s="1"/>
  <c r="R8" i="1"/>
  <c r="R17" i="1" s="1"/>
  <c r="S8" i="1"/>
  <c r="S17" i="1" s="1"/>
  <c r="T8" i="1"/>
  <c r="T17" i="1" s="1"/>
  <c r="U8" i="1"/>
  <c r="U17" i="1" s="1"/>
  <c r="V8" i="1"/>
  <c r="V17" i="1" s="1"/>
  <c r="W8" i="1"/>
  <c r="W17" i="1" s="1"/>
  <c r="AF62" i="7"/>
  <c r="W63" i="7"/>
  <c r="Q63" i="7"/>
  <c r="H63" i="7"/>
  <c r="W56" i="7"/>
  <c r="W50" i="7"/>
  <c r="W30" i="7"/>
  <c r="W20" i="7"/>
  <c r="W8" i="7"/>
  <c r="W17" i="7" s="1"/>
  <c r="AF3" i="7"/>
  <c r="W4" i="7"/>
  <c r="Q4" i="7"/>
  <c r="E20" i="7"/>
  <c r="F20" i="7"/>
  <c r="G20" i="7"/>
  <c r="I20" i="7"/>
  <c r="J20" i="7"/>
  <c r="K20" i="7"/>
  <c r="L20" i="7"/>
  <c r="M20" i="7"/>
  <c r="N20" i="7"/>
  <c r="O20" i="7"/>
  <c r="P20" i="7"/>
  <c r="Q20" i="7"/>
  <c r="R20" i="7"/>
  <c r="S20" i="7"/>
  <c r="T20" i="7"/>
  <c r="U20" i="7"/>
  <c r="V20" i="7"/>
  <c r="F30" i="7"/>
  <c r="G30" i="7"/>
  <c r="H30" i="7"/>
  <c r="I30" i="7"/>
  <c r="J30" i="7"/>
  <c r="K30" i="7"/>
  <c r="L30" i="7"/>
  <c r="M30" i="7"/>
  <c r="N30" i="7"/>
  <c r="O30" i="7"/>
  <c r="P30" i="7"/>
  <c r="Q30" i="7"/>
  <c r="R30" i="7"/>
  <c r="S30" i="7"/>
  <c r="T30" i="7"/>
  <c r="U30" i="7"/>
  <c r="V30" i="7"/>
  <c r="E8" i="7"/>
  <c r="F8" i="7"/>
  <c r="I8" i="7"/>
  <c r="J8" i="7"/>
  <c r="K8" i="7"/>
  <c r="Z8" i="7" s="1"/>
  <c r="L8" i="7"/>
  <c r="M8" i="7"/>
  <c r="N8" i="7"/>
  <c r="O8" i="7"/>
  <c r="P8" i="7"/>
  <c r="Q8" i="7"/>
  <c r="R8" i="7"/>
  <c r="S8" i="7"/>
  <c r="T8" i="7"/>
  <c r="U8" i="7"/>
  <c r="V8" i="7"/>
  <c r="V17" i="7" s="1"/>
  <c r="D8" i="7"/>
  <c r="H31" i="1" l="1"/>
  <c r="H64" i="1"/>
  <c r="E17" i="1"/>
  <c r="E58" i="1" s="1"/>
  <c r="E64" i="1"/>
  <c r="H64" i="7"/>
  <c r="W58" i="1"/>
  <c r="U58" i="1"/>
  <c r="M58" i="1"/>
  <c r="K58" i="1"/>
  <c r="G58" i="1"/>
  <c r="T58" i="1"/>
  <c r="L58" i="1"/>
  <c r="O58" i="1"/>
  <c r="V58" i="1"/>
  <c r="R58" i="1"/>
  <c r="N58" i="1"/>
  <c r="J58" i="1"/>
  <c r="F58" i="1"/>
  <c r="Q58" i="1"/>
  <c r="I58" i="1"/>
  <c r="S58" i="1"/>
  <c r="P58" i="1"/>
  <c r="H58" i="1"/>
  <c r="D12" i="8"/>
  <c r="E37" i="6" s="1"/>
  <c r="V6" i="6"/>
  <c r="U6" i="6"/>
  <c r="S6" i="6"/>
  <c r="V5" i="6"/>
  <c r="U5" i="6"/>
  <c r="S5" i="6"/>
  <c r="S4" i="6"/>
  <c r="D3" i="8"/>
  <c r="H7" i="8"/>
  <c r="G7" i="8"/>
  <c r="G8" i="8" s="1"/>
  <c r="K8" i="8" l="1"/>
  <c r="G9" i="8"/>
  <c r="H8" i="8"/>
  <c r="J8" i="8" s="1"/>
  <c r="Z5" i="1"/>
  <c r="W70" i="7"/>
  <c r="V70" i="7"/>
  <c r="T70" i="7"/>
  <c r="S70" i="7"/>
  <c r="R70" i="7"/>
  <c r="Q70" i="7"/>
  <c r="N70" i="7"/>
  <c r="M70" i="7"/>
  <c r="L70" i="7"/>
  <c r="J70" i="7"/>
  <c r="I70" i="7"/>
  <c r="H70" i="7"/>
  <c r="F70" i="7"/>
  <c r="D70" i="7"/>
  <c r="W68" i="7"/>
  <c r="V68" i="7"/>
  <c r="T68" i="7"/>
  <c r="S68" i="7"/>
  <c r="R68" i="7"/>
  <c r="Q68" i="7"/>
  <c r="N68" i="7"/>
  <c r="M68" i="7"/>
  <c r="L68" i="7"/>
  <c r="J68" i="7"/>
  <c r="I68" i="7"/>
  <c r="X68" i="7" s="1"/>
  <c r="H68" i="7"/>
  <c r="F68" i="7"/>
  <c r="D68" i="7"/>
  <c r="W67" i="7"/>
  <c r="V67" i="7"/>
  <c r="T67" i="7"/>
  <c r="S67" i="7"/>
  <c r="R67" i="7"/>
  <c r="Q67" i="7"/>
  <c r="N67" i="7"/>
  <c r="M67" i="7"/>
  <c r="L67" i="7"/>
  <c r="J67" i="7"/>
  <c r="I67" i="7"/>
  <c r="H67" i="7"/>
  <c r="F67" i="7"/>
  <c r="D67" i="7"/>
  <c r="V66" i="7"/>
  <c r="V65" i="7"/>
  <c r="V64" i="7"/>
  <c r="AG57" i="7"/>
  <c r="AF57" i="7"/>
  <c r="AE57" i="7"/>
  <c r="AD57" i="7"/>
  <c r="AC57" i="7"/>
  <c r="AB57" i="7"/>
  <c r="Y57" i="7"/>
  <c r="X57" i="7"/>
  <c r="V56" i="7"/>
  <c r="V69" i="7" s="1"/>
  <c r="T56" i="7"/>
  <c r="T69" i="7" s="1"/>
  <c r="S56" i="7"/>
  <c r="R56" i="7"/>
  <c r="R69" i="7" s="1"/>
  <c r="Q56" i="7"/>
  <c r="Q69" i="7" s="1"/>
  <c r="M56" i="7"/>
  <c r="M69" i="7" s="1"/>
  <c r="J56" i="7"/>
  <c r="J69" i="7" s="1"/>
  <c r="I56" i="7"/>
  <c r="I69" i="7" s="1"/>
  <c r="H56" i="7"/>
  <c r="H69" i="7" s="1"/>
  <c r="F56" i="7"/>
  <c r="F69" i="7" s="1"/>
  <c r="D56" i="7"/>
  <c r="D69" i="7" s="1"/>
  <c r="AG55" i="7"/>
  <c r="AF55" i="7"/>
  <c r="AB55" i="7"/>
  <c r="Y55" i="7"/>
  <c r="X55" i="7"/>
  <c r="AC55" i="7"/>
  <c r="P56" i="7"/>
  <c r="P69" i="7" s="1"/>
  <c r="AA55" i="7"/>
  <c r="AG54" i="7"/>
  <c r="AF54" i="7"/>
  <c r="AB54" i="7"/>
  <c r="Y54" i="7"/>
  <c r="X54" i="7"/>
  <c r="N56" i="7"/>
  <c r="N69" i="7" s="1"/>
  <c r="L56" i="7"/>
  <c r="L69" i="7" s="1"/>
  <c r="AA54" i="7"/>
  <c r="G69" i="7"/>
  <c r="AG53" i="7"/>
  <c r="AF53" i="7"/>
  <c r="AB53" i="7"/>
  <c r="AA53" i="7"/>
  <c r="Z53" i="7"/>
  <c r="Y53" i="7"/>
  <c r="X53" i="7"/>
  <c r="AC53" i="7"/>
  <c r="AE53" i="7"/>
  <c r="AG52" i="7"/>
  <c r="AF52" i="7"/>
  <c r="AB52" i="7"/>
  <c r="AA52" i="7"/>
  <c r="Z52" i="7"/>
  <c r="Y52" i="7"/>
  <c r="X52" i="7"/>
  <c r="AC52" i="7"/>
  <c r="AE52" i="7"/>
  <c r="AG51" i="7"/>
  <c r="AF51" i="7"/>
  <c r="AB51" i="7"/>
  <c r="AA51" i="7"/>
  <c r="Z51" i="7"/>
  <c r="Y51" i="7"/>
  <c r="X51" i="7"/>
  <c r="AC51" i="7"/>
  <c r="AE51" i="7"/>
  <c r="V50" i="7"/>
  <c r="U50" i="7"/>
  <c r="T50" i="7"/>
  <c r="R50" i="7"/>
  <c r="Q50" i="7"/>
  <c r="O50" i="7"/>
  <c r="N50" i="7"/>
  <c r="M50" i="7"/>
  <c r="L50" i="7"/>
  <c r="J50" i="7"/>
  <c r="I50" i="7"/>
  <c r="H50" i="7"/>
  <c r="G50" i="7"/>
  <c r="F50" i="7"/>
  <c r="D50" i="7"/>
  <c r="AG49" i="7"/>
  <c r="AF49" i="7"/>
  <c r="AE49" i="7"/>
  <c r="AD49" i="7"/>
  <c r="AC49" i="7"/>
  <c r="AB49" i="7"/>
  <c r="AA49" i="7"/>
  <c r="Y49" i="7"/>
  <c r="X49" i="7"/>
  <c r="AG48" i="7"/>
  <c r="AF48" i="7"/>
  <c r="AE48" i="7"/>
  <c r="AD48" i="7"/>
  <c r="AC48" i="7"/>
  <c r="AB48" i="7"/>
  <c r="Y48" i="7"/>
  <c r="X48" i="7"/>
  <c r="P50" i="7"/>
  <c r="AA48" i="7"/>
  <c r="E50" i="7"/>
  <c r="AG47" i="7"/>
  <c r="AF47" i="7"/>
  <c r="AE47" i="7"/>
  <c r="AD47" i="7"/>
  <c r="Y47" i="7"/>
  <c r="X47" i="7"/>
  <c r="AA47" i="7"/>
  <c r="AG46" i="7"/>
  <c r="AF46" i="7"/>
  <c r="AB46" i="7"/>
  <c r="Y46" i="7"/>
  <c r="X46" i="7"/>
  <c r="AC46" i="7"/>
  <c r="W66" i="7"/>
  <c r="T45" i="7"/>
  <c r="S45" i="7"/>
  <c r="S66" i="7" s="1"/>
  <c r="R45" i="7"/>
  <c r="R66" i="7" s="1"/>
  <c r="Q45" i="7"/>
  <c r="Q66" i="7" s="1"/>
  <c r="O45" i="7"/>
  <c r="N45" i="7"/>
  <c r="N66" i="7" s="1"/>
  <c r="L45" i="7"/>
  <c r="L66" i="7" s="1"/>
  <c r="K45" i="7"/>
  <c r="J45" i="7"/>
  <c r="J66" i="7" s="1"/>
  <c r="I45" i="7"/>
  <c r="I66" i="7" s="1"/>
  <c r="H45" i="7"/>
  <c r="H66" i="7" s="1"/>
  <c r="G45" i="7"/>
  <c r="G66" i="7" s="1"/>
  <c r="D45" i="7"/>
  <c r="D66" i="7" s="1"/>
  <c r="AG44" i="7"/>
  <c r="AF44" i="7"/>
  <c r="AE44" i="7"/>
  <c r="AD44" i="7"/>
  <c r="Y44" i="7"/>
  <c r="X44" i="7"/>
  <c r="AA44" i="7"/>
  <c r="Z44" i="7"/>
  <c r="AG43" i="7"/>
  <c r="AF43" i="7"/>
  <c r="AE43" i="7"/>
  <c r="AD43" i="7"/>
  <c r="AA43" i="7"/>
  <c r="Y43" i="7"/>
  <c r="X43" i="7"/>
  <c r="Z43" i="7"/>
  <c r="AG42" i="7"/>
  <c r="AF42" i="7"/>
  <c r="AE42" i="7"/>
  <c r="AD42" i="7"/>
  <c r="AA42" i="7"/>
  <c r="Y42" i="7"/>
  <c r="X42" i="7"/>
  <c r="Z42" i="7"/>
  <c r="AG41" i="7"/>
  <c r="AF41" i="7"/>
  <c r="AE41" i="7"/>
  <c r="AD41" i="7"/>
  <c r="AA41" i="7"/>
  <c r="Y41" i="7"/>
  <c r="X41" i="7"/>
  <c r="P45" i="7"/>
  <c r="T40" i="7"/>
  <c r="S40" i="7"/>
  <c r="R40" i="7"/>
  <c r="Q40" i="7"/>
  <c r="N40" i="7"/>
  <c r="M40" i="7"/>
  <c r="L40" i="7"/>
  <c r="J40" i="7"/>
  <c r="I40" i="7"/>
  <c r="H40" i="7"/>
  <c r="F40" i="7"/>
  <c r="E40" i="7"/>
  <c r="D40" i="7"/>
  <c r="AG39" i="7"/>
  <c r="AF39" i="7"/>
  <c r="AB39" i="7"/>
  <c r="Y39" i="7"/>
  <c r="X39" i="7"/>
  <c r="AC39" i="7"/>
  <c r="Z39" i="7"/>
  <c r="AG38" i="7"/>
  <c r="AF38" i="7"/>
  <c r="AB38" i="7"/>
  <c r="AA38" i="7"/>
  <c r="Z38" i="7"/>
  <c r="Y38" i="7"/>
  <c r="X38" i="7"/>
  <c r="AC38" i="7"/>
  <c r="AD38" i="7"/>
  <c r="AG37" i="7"/>
  <c r="AF37" i="7"/>
  <c r="AC37" i="7"/>
  <c r="AB37" i="7"/>
  <c r="AA37" i="7"/>
  <c r="Z37" i="7"/>
  <c r="Y37" i="7"/>
  <c r="X37" i="7"/>
  <c r="AE37" i="7"/>
  <c r="AG36" i="7"/>
  <c r="AF36" i="7"/>
  <c r="AB36" i="7"/>
  <c r="AA36" i="7"/>
  <c r="Z36" i="7"/>
  <c r="Y36" i="7"/>
  <c r="X36" i="7"/>
  <c r="AC36" i="7"/>
  <c r="AD36" i="7"/>
  <c r="AG35" i="7"/>
  <c r="AF35" i="7"/>
  <c r="AC35" i="7"/>
  <c r="AB35" i="7"/>
  <c r="AA35" i="7"/>
  <c r="Z35" i="7"/>
  <c r="Y35" i="7"/>
  <c r="X35" i="7"/>
  <c r="AE35" i="7"/>
  <c r="AG34" i="7"/>
  <c r="AF34" i="7"/>
  <c r="AB34" i="7"/>
  <c r="AA34" i="7"/>
  <c r="Z34" i="7"/>
  <c r="Y34" i="7"/>
  <c r="X34" i="7"/>
  <c r="AC34" i="7"/>
  <c r="AD34" i="7"/>
  <c r="AG33" i="7"/>
  <c r="AF33" i="7"/>
  <c r="AC33" i="7"/>
  <c r="AB33" i="7"/>
  <c r="AA33" i="7"/>
  <c r="Z33" i="7"/>
  <c r="Y33" i="7"/>
  <c r="X33" i="7"/>
  <c r="AE33" i="7"/>
  <c r="AG32" i="7"/>
  <c r="AF32" i="7"/>
  <c r="AB32" i="7"/>
  <c r="AA32" i="7"/>
  <c r="Z32" i="7"/>
  <c r="Y32" i="7"/>
  <c r="X32" i="7"/>
  <c r="W65" i="7"/>
  <c r="T65" i="7"/>
  <c r="S65" i="7"/>
  <c r="R65" i="7"/>
  <c r="Q65" i="7"/>
  <c r="N65" i="7"/>
  <c r="M65" i="7"/>
  <c r="L65" i="7"/>
  <c r="J65" i="7"/>
  <c r="I65" i="7"/>
  <c r="H65" i="7"/>
  <c r="F65" i="7"/>
  <c r="D65" i="7"/>
  <c r="AG29" i="7"/>
  <c r="AF29" i="7"/>
  <c r="AB29" i="7"/>
  <c r="Y29" i="7"/>
  <c r="X29" i="7"/>
  <c r="AC29" i="7"/>
  <c r="AG28" i="7"/>
  <c r="AF28" i="7"/>
  <c r="AB28" i="7"/>
  <c r="Y28" i="7"/>
  <c r="X28" i="7"/>
  <c r="AC28" i="7"/>
  <c r="AG27" i="7"/>
  <c r="AF27" i="7"/>
  <c r="AB27" i="7"/>
  <c r="Y27" i="7"/>
  <c r="X27" i="7"/>
  <c r="AC27" i="7"/>
  <c r="AG26" i="7"/>
  <c r="AF26" i="7"/>
  <c r="AE26" i="7"/>
  <c r="AB26" i="7"/>
  <c r="AA26" i="7"/>
  <c r="Y26" i="7"/>
  <c r="X26" i="7"/>
  <c r="AC26" i="7"/>
  <c r="AG25" i="7"/>
  <c r="AF25" i="7"/>
  <c r="AB25" i="7"/>
  <c r="AA25" i="7"/>
  <c r="Y25" i="7"/>
  <c r="X25" i="7"/>
  <c r="AC25" i="7"/>
  <c r="AE25" i="7"/>
  <c r="AG24" i="7"/>
  <c r="AF24" i="7"/>
  <c r="AB24" i="7"/>
  <c r="AA24" i="7"/>
  <c r="Y24" i="7"/>
  <c r="X24" i="7"/>
  <c r="AC24" i="7"/>
  <c r="AE24" i="7"/>
  <c r="AG23" i="7"/>
  <c r="AF23" i="7"/>
  <c r="AB23" i="7"/>
  <c r="AA23" i="7"/>
  <c r="Y23" i="7"/>
  <c r="X23" i="7"/>
  <c r="AC23" i="7"/>
  <c r="AE23" i="7"/>
  <c r="AG22" i="7"/>
  <c r="AF22" i="7"/>
  <c r="AB22" i="7"/>
  <c r="AA22" i="7"/>
  <c r="Y22" i="7"/>
  <c r="X22" i="7"/>
  <c r="AC22" i="7"/>
  <c r="AE22" i="7"/>
  <c r="Z22" i="7"/>
  <c r="AG21" i="7"/>
  <c r="AF21" i="7"/>
  <c r="AB21" i="7"/>
  <c r="AA21" i="7"/>
  <c r="Y21" i="7"/>
  <c r="X21" i="7"/>
  <c r="AC21" i="7"/>
  <c r="AE21" i="7"/>
  <c r="Z21" i="7"/>
  <c r="AG20" i="7"/>
  <c r="S31" i="7"/>
  <c r="R64" i="7"/>
  <c r="Q31" i="7"/>
  <c r="N31" i="7"/>
  <c r="M31" i="7"/>
  <c r="L31" i="7"/>
  <c r="J31" i="7"/>
  <c r="I31" i="7"/>
  <c r="H31" i="7"/>
  <c r="F31" i="7"/>
  <c r="D20" i="7"/>
  <c r="D31" i="7" s="1"/>
  <c r="AG19" i="7"/>
  <c r="AF19" i="7"/>
  <c r="AB19" i="7"/>
  <c r="Y19" i="7"/>
  <c r="X19" i="7"/>
  <c r="AG18" i="7"/>
  <c r="AF18" i="7"/>
  <c r="AC18" i="7"/>
  <c r="AB18" i="7"/>
  <c r="AA18" i="7"/>
  <c r="Y18" i="7"/>
  <c r="X18" i="7"/>
  <c r="P31" i="7"/>
  <c r="T17" i="7"/>
  <c r="R17" i="7"/>
  <c r="AG16" i="7"/>
  <c r="AF16" i="7"/>
  <c r="AB16" i="7"/>
  <c r="Y16" i="7"/>
  <c r="X16" i="7"/>
  <c r="U70" i="7"/>
  <c r="AC70" i="7" s="1"/>
  <c r="P70" i="7"/>
  <c r="K70" i="7"/>
  <c r="E70" i="7"/>
  <c r="AG15" i="7"/>
  <c r="AF15" i="7"/>
  <c r="AB15" i="7"/>
  <c r="AA15" i="7"/>
  <c r="Y15" i="7"/>
  <c r="X15" i="7"/>
  <c r="AC15" i="7"/>
  <c r="AG14" i="7"/>
  <c r="AF14" i="7"/>
  <c r="AB14" i="7"/>
  <c r="Y14" i="7"/>
  <c r="X14" i="7"/>
  <c r="AC14" i="7"/>
  <c r="Z14" i="7"/>
  <c r="AG13" i="7"/>
  <c r="AF13" i="7"/>
  <c r="AB13" i="7"/>
  <c r="Y13" i="7"/>
  <c r="X13" i="7"/>
  <c r="AC13" i="7"/>
  <c r="AG12" i="7"/>
  <c r="AF12" i="7"/>
  <c r="AB12" i="7"/>
  <c r="Y12" i="7"/>
  <c r="X12" i="7"/>
  <c r="AC12" i="7"/>
  <c r="AG10" i="7"/>
  <c r="AF10" i="7"/>
  <c r="AB10" i="7"/>
  <c r="Y10" i="7"/>
  <c r="X10" i="7"/>
  <c r="U67" i="7"/>
  <c r="AC67" i="7" s="1"/>
  <c r="P67" i="7"/>
  <c r="K67" i="7"/>
  <c r="E67" i="7"/>
  <c r="AG9" i="7"/>
  <c r="AF9" i="7"/>
  <c r="AB9" i="7"/>
  <c r="Y9" i="7"/>
  <c r="X9" i="7"/>
  <c r="AC9" i="7"/>
  <c r="W64" i="7"/>
  <c r="S64" i="7"/>
  <c r="Q64" i="7"/>
  <c r="M64" i="7"/>
  <c r="L17" i="7"/>
  <c r="J64" i="7"/>
  <c r="F64" i="7"/>
  <c r="AG7" i="7"/>
  <c r="AF7" i="7"/>
  <c r="AB7" i="7"/>
  <c r="AA7" i="7"/>
  <c r="Y7" i="7"/>
  <c r="X7" i="7"/>
  <c r="AC7" i="7"/>
  <c r="AG6" i="7"/>
  <c r="AF6" i="7"/>
  <c r="AB6" i="7"/>
  <c r="Y6" i="7"/>
  <c r="X6" i="7"/>
  <c r="AC6" i="7"/>
  <c r="Z6" i="7"/>
  <c r="AG5" i="7"/>
  <c r="AF5" i="7"/>
  <c r="AB5" i="7"/>
  <c r="AA5" i="7"/>
  <c r="Y5" i="7"/>
  <c r="X5" i="7"/>
  <c r="AC5" i="7"/>
  <c r="AJ30" i="9"/>
  <c r="AF70" i="7" l="1"/>
  <c r="AD50" i="7"/>
  <c r="X40" i="7"/>
  <c r="P66" i="7"/>
  <c r="Z57" i="7"/>
  <c r="AG68" i="7"/>
  <c r="H71" i="7"/>
  <c r="S69" i="7"/>
  <c r="S71" i="7" s="1"/>
  <c r="W69" i="7"/>
  <c r="AG69" i="7" s="1"/>
  <c r="AG50" i="7"/>
  <c r="AE50" i="7"/>
  <c r="AD45" i="7"/>
  <c r="R71" i="7"/>
  <c r="Y40" i="7"/>
  <c r="Y31" i="7"/>
  <c r="X31" i="7"/>
  <c r="D64" i="7"/>
  <c r="D71" i="7" s="1"/>
  <c r="AG70" i="7"/>
  <c r="AF67" i="7"/>
  <c r="AB67" i="7"/>
  <c r="Y67" i="7"/>
  <c r="X67" i="7"/>
  <c r="L58" i="7"/>
  <c r="AB31" i="7"/>
  <c r="J71" i="7"/>
  <c r="I8" i="8"/>
  <c r="B30" i="9" s="1"/>
  <c r="G10" i="8"/>
  <c r="H9" i="8"/>
  <c r="J9" i="8" s="1"/>
  <c r="K9" i="8"/>
  <c r="E65" i="7"/>
  <c r="AA6" i="7"/>
  <c r="I64" i="7"/>
  <c r="N64" i="7"/>
  <c r="N71" i="7" s="1"/>
  <c r="AC8" i="7"/>
  <c r="AA9" i="7"/>
  <c r="AA12" i="7"/>
  <c r="Z13" i="7"/>
  <c r="AA14" i="7"/>
  <c r="Z15" i="7"/>
  <c r="AA16" i="7"/>
  <c r="AE18" i="7"/>
  <c r="Z18" i="7"/>
  <c r="AA19" i="7"/>
  <c r="AF65" i="7"/>
  <c r="U68" i="7"/>
  <c r="AC68" i="7" s="1"/>
  <c r="AF50" i="7"/>
  <c r="AC50" i="7"/>
  <c r="AD52" i="7"/>
  <c r="AF68" i="7"/>
  <c r="AB70" i="7"/>
  <c r="Y70" i="7"/>
  <c r="Y20" i="7"/>
  <c r="AG40" i="7"/>
  <c r="E56" i="7"/>
  <c r="E69" i="7" s="1"/>
  <c r="X70" i="7"/>
  <c r="AA10" i="7"/>
  <c r="AA13" i="7"/>
  <c r="AE32" i="7"/>
  <c r="AE34" i="7"/>
  <c r="AE36" i="7"/>
  <c r="AE38" i="7"/>
  <c r="X50" i="7"/>
  <c r="Y50" i="7"/>
  <c r="AG67" i="7"/>
  <c r="AB68" i="7"/>
  <c r="Y68" i="7"/>
  <c r="X65" i="7"/>
  <c r="P40" i="7"/>
  <c r="AD39" i="7"/>
  <c r="E45" i="7"/>
  <c r="Z45" i="7" s="1"/>
  <c r="AC42" i="7"/>
  <c r="AC43" i="7"/>
  <c r="U56" i="7"/>
  <c r="U69" i="7" s="1"/>
  <c r="AC69" i="7" s="1"/>
  <c r="Z55" i="7"/>
  <c r="AA57" i="7"/>
  <c r="AE9" i="7"/>
  <c r="AE12" i="7"/>
  <c r="AD12" i="7"/>
  <c r="AE14" i="7"/>
  <c r="K31" i="7"/>
  <c r="AE19" i="7"/>
  <c r="AD19" i="7"/>
  <c r="AA20" i="7"/>
  <c r="AE27" i="7"/>
  <c r="AD27" i="7"/>
  <c r="AE29" i="7"/>
  <c r="AD29" i="7"/>
  <c r="K64" i="7"/>
  <c r="AA8" i="7"/>
  <c r="K17" i="7"/>
  <c r="AA17" i="7" s="1"/>
  <c r="AD7" i="7"/>
  <c r="AE7" i="7"/>
  <c r="AF31" i="7"/>
  <c r="AG31" i="7"/>
  <c r="AD26" i="7"/>
  <c r="AE13" i="7"/>
  <c r="AE15" i="7"/>
  <c r="U31" i="7"/>
  <c r="AC31" i="7" s="1"/>
  <c r="AC20" i="7"/>
  <c r="AA30" i="7"/>
  <c r="Z30" i="7"/>
  <c r="P64" i="7"/>
  <c r="P17" i="7"/>
  <c r="AE6" i="7"/>
  <c r="AD6" i="7"/>
  <c r="AG64" i="7"/>
  <c r="AD13" i="7"/>
  <c r="AD14" i="7"/>
  <c r="AD15" i="7"/>
  <c r="X8" i="7"/>
  <c r="AB8" i="7"/>
  <c r="AF8" i="7"/>
  <c r="F17" i="7"/>
  <c r="AD21" i="7"/>
  <c r="T64" i="7"/>
  <c r="Y8" i="7"/>
  <c r="AG8" i="7"/>
  <c r="AC10" i="7"/>
  <c r="AC16" i="7"/>
  <c r="S17" i="7"/>
  <c r="AC19" i="7"/>
  <c r="X20" i="7"/>
  <c r="AB20" i="7"/>
  <c r="AF20" i="7"/>
  <c r="Z26" i="7"/>
  <c r="Z27" i="7"/>
  <c r="Z28" i="7"/>
  <c r="Z29" i="7"/>
  <c r="L71" i="7"/>
  <c r="Y30" i="7"/>
  <c r="AG30" i="7"/>
  <c r="P68" i="7"/>
  <c r="AD32" i="7"/>
  <c r="AA39" i="7"/>
  <c r="AE39" i="7"/>
  <c r="AB40" i="7"/>
  <c r="AF40" i="7"/>
  <c r="U40" i="7"/>
  <c r="AC40" i="7" s="1"/>
  <c r="AB42" i="7"/>
  <c r="AC44" i="7"/>
  <c r="K66" i="7"/>
  <c r="O66" i="7"/>
  <c r="AD66" i="7" s="1"/>
  <c r="AE45" i="7"/>
  <c r="Y66" i="7"/>
  <c r="X45" i="7"/>
  <c r="E68" i="7"/>
  <c r="G68" i="7"/>
  <c r="AB50" i="7"/>
  <c r="X69" i="7"/>
  <c r="AF69" i="7"/>
  <c r="AA67" i="7"/>
  <c r="Z5" i="7"/>
  <c r="U64" i="7"/>
  <c r="Z10" i="7"/>
  <c r="Z12" i="7"/>
  <c r="Z16" i="7"/>
  <c r="D17" i="7"/>
  <c r="H17" i="7"/>
  <c r="H58" i="7" s="1"/>
  <c r="AD18" i="7"/>
  <c r="Z19" i="7"/>
  <c r="AA27" i="7"/>
  <c r="AA28" i="7"/>
  <c r="AA29" i="7"/>
  <c r="AB65" i="7"/>
  <c r="AC30" i="7"/>
  <c r="T31" i="7"/>
  <c r="T66" i="7"/>
  <c r="AA45" i="7"/>
  <c r="Y45" i="7"/>
  <c r="K68" i="7"/>
  <c r="AA46" i="7"/>
  <c r="Q71" i="7"/>
  <c r="AF64" i="7"/>
  <c r="G67" i="7"/>
  <c r="I17" i="7"/>
  <c r="M17" i="7"/>
  <c r="Q17" i="7"/>
  <c r="Q58" i="7" s="1"/>
  <c r="U17" i="7"/>
  <c r="E31" i="7"/>
  <c r="AD22" i="7"/>
  <c r="Z23" i="7"/>
  <c r="AD23" i="7"/>
  <c r="Z24" i="7"/>
  <c r="AD24" i="7"/>
  <c r="Z25" i="7"/>
  <c r="AD25" i="7"/>
  <c r="AG65" i="7"/>
  <c r="AD33" i="7"/>
  <c r="AD35" i="7"/>
  <c r="AD37" i="7"/>
  <c r="G40" i="7"/>
  <c r="K40" i="7"/>
  <c r="Z41" i="7"/>
  <c r="X66" i="7"/>
  <c r="M45" i="7"/>
  <c r="AF66" i="7"/>
  <c r="AF45" i="7"/>
  <c r="O68" i="7"/>
  <c r="AB69" i="7"/>
  <c r="Z7" i="7"/>
  <c r="P65" i="7"/>
  <c r="Z9" i="7"/>
  <c r="AB64" i="7"/>
  <c r="G65" i="7"/>
  <c r="G70" i="7"/>
  <c r="K65" i="7"/>
  <c r="Z67" i="7"/>
  <c r="AA70" i="7"/>
  <c r="Z70" i="7"/>
  <c r="J17" i="7"/>
  <c r="J58" i="7" s="1"/>
  <c r="N17" i="7"/>
  <c r="N58" i="7" s="1"/>
  <c r="Y65" i="7"/>
  <c r="X30" i="7"/>
  <c r="AB30" i="7"/>
  <c r="AF30" i="7"/>
  <c r="R31" i="7"/>
  <c r="R58" i="7" s="1"/>
  <c r="AC32" i="7"/>
  <c r="AB43" i="7"/>
  <c r="AG66" i="7"/>
  <c r="AG45" i="7"/>
  <c r="Z46" i="7"/>
  <c r="AB47" i="7"/>
  <c r="Z47" i="7"/>
  <c r="Z48" i="7"/>
  <c r="K50" i="7"/>
  <c r="Z49" i="7"/>
  <c r="AD51" i="7"/>
  <c r="AD53" i="7"/>
  <c r="AC54" i="7"/>
  <c r="K56" i="7"/>
  <c r="K69" i="7" s="1"/>
  <c r="V71" i="7"/>
  <c r="Z54" i="7"/>
  <c r="X56" i="7"/>
  <c r="AB56" i="7"/>
  <c r="AF56" i="7"/>
  <c r="Y56" i="7"/>
  <c r="AG56" i="7"/>
  <c r="AD30" i="9"/>
  <c r="Q30" i="9"/>
  <c r="L30" i="9"/>
  <c r="K30" i="9"/>
  <c r="AT30" i="9"/>
  <c r="AH42" i="9"/>
  <c r="E30" i="9"/>
  <c r="AO30" i="9"/>
  <c r="R30" i="9"/>
  <c r="AP30" i="9"/>
  <c r="P30" i="9"/>
  <c r="X30" i="9"/>
  <c r="F30" i="9"/>
  <c r="AC30" i="9"/>
  <c r="BB30" i="9"/>
  <c r="AJ42" i="9"/>
  <c r="V30" i="9"/>
  <c r="AN30" i="9"/>
  <c r="J30" i="9"/>
  <c r="AV30" i="9"/>
  <c r="AB30" i="9"/>
  <c r="AZ30" i="9"/>
  <c r="AI42" i="9"/>
  <c r="AI30" i="9"/>
  <c r="BA30" i="9"/>
  <c r="W30" i="9"/>
  <c r="D30" i="9"/>
  <c r="AU30" i="9"/>
  <c r="AH30" i="9"/>
  <c r="AC56" i="7" l="1"/>
  <c r="X64" i="7"/>
  <c r="E66" i="7"/>
  <c r="Z66" i="7" s="1"/>
  <c r="Y69" i="7"/>
  <c r="AA56" i="7"/>
  <c r="W71" i="7"/>
  <c r="AG71" i="7" s="1"/>
  <c r="P58" i="7"/>
  <c r="AD68" i="7"/>
  <c r="Y64" i="7"/>
  <c r="I71" i="7"/>
  <c r="X71" i="7" s="1"/>
  <c r="D58" i="7"/>
  <c r="Z65" i="7"/>
  <c r="AF71" i="7"/>
  <c r="Y71" i="7"/>
  <c r="B42" i="9"/>
  <c r="H42" i="9"/>
  <c r="AR30" i="9"/>
  <c r="AX30" i="9"/>
  <c r="AF30" i="9"/>
  <c r="AL30" i="9"/>
  <c r="T30" i="9"/>
  <c r="Z30" i="9"/>
  <c r="H30" i="9"/>
  <c r="N30" i="9"/>
  <c r="N8" i="8"/>
  <c r="G11" i="8"/>
  <c r="H10" i="8"/>
  <c r="J10" i="8" s="1"/>
  <c r="K10" i="8"/>
  <c r="I9" i="8"/>
  <c r="B31" i="9" s="1"/>
  <c r="AB44" i="7"/>
  <c r="AA31" i="7"/>
  <c r="G31" i="7"/>
  <c r="E17" i="7"/>
  <c r="E58" i="7" s="1"/>
  <c r="Z31" i="7"/>
  <c r="Z20" i="7"/>
  <c r="U65" i="7"/>
  <c r="AC65" i="7" s="1"/>
  <c r="O40" i="7"/>
  <c r="AE40" i="7" s="1"/>
  <c r="M66" i="7"/>
  <c r="AE54" i="7"/>
  <c r="AD54" i="7"/>
  <c r="O56" i="7"/>
  <c r="O69" i="7" s="1"/>
  <c r="Z56" i="7"/>
  <c r="AA50" i="7"/>
  <c r="Z50" i="7"/>
  <c r="F45" i="7"/>
  <c r="F66" i="7" s="1"/>
  <c r="F71" i="7" s="1"/>
  <c r="AC64" i="7"/>
  <c r="AD20" i="7"/>
  <c r="O31" i="7"/>
  <c r="AE20" i="7"/>
  <c r="AG17" i="7"/>
  <c r="I58" i="7"/>
  <c r="X17" i="7"/>
  <c r="AA68" i="7"/>
  <c r="Z68" i="7"/>
  <c r="AB41" i="7"/>
  <c r="AA64" i="7"/>
  <c r="T71" i="7"/>
  <c r="E64" i="7"/>
  <c r="E71" i="7" s="1"/>
  <c r="AA40" i="7"/>
  <c r="Z40" i="7"/>
  <c r="AC17" i="7"/>
  <c r="G64" i="7"/>
  <c r="G71" i="7" s="1"/>
  <c r="G17" i="7"/>
  <c r="T58" i="7"/>
  <c r="AE68" i="7"/>
  <c r="S58" i="7"/>
  <c r="Y17" i="7"/>
  <c r="O67" i="7"/>
  <c r="AD10" i="7"/>
  <c r="AE10" i="7"/>
  <c r="AE5" i="7"/>
  <c r="AD5" i="7"/>
  <c r="P71" i="7"/>
  <c r="K58" i="7"/>
  <c r="AE46" i="7"/>
  <c r="AD46" i="7"/>
  <c r="AF58" i="7"/>
  <c r="AF17" i="7"/>
  <c r="AC47" i="7"/>
  <c r="AA65" i="7"/>
  <c r="AE55" i="7"/>
  <c r="AD55" i="7"/>
  <c r="AE28" i="7"/>
  <c r="AD28" i="7"/>
  <c r="M58" i="7"/>
  <c r="AB17" i="7"/>
  <c r="AA66" i="7"/>
  <c r="AE66" i="7"/>
  <c r="O70" i="7"/>
  <c r="AE16" i="7"/>
  <c r="AD16" i="7"/>
  <c r="K71" i="7"/>
  <c r="AD9" i="7"/>
  <c r="AJ31" i="9"/>
  <c r="AB31" i="9"/>
  <c r="AC31" i="9"/>
  <c r="W31" i="9"/>
  <c r="E31" i="9"/>
  <c r="AP31" i="9"/>
  <c r="L31" i="9"/>
  <c r="X31" i="9"/>
  <c r="BA31" i="9"/>
  <c r="AZ31" i="9"/>
  <c r="AD31" i="9"/>
  <c r="BB31" i="9"/>
  <c r="R31" i="9"/>
  <c r="AO31" i="9"/>
  <c r="AI31" i="9"/>
  <c r="AN31" i="9"/>
  <c r="AH31" i="9"/>
  <c r="AJ43" i="9"/>
  <c r="AV31" i="9"/>
  <c r="AI43" i="9"/>
  <c r="F31" i="9"/>
  <c r="AU31" i="9"/>
  <c r="K31" i="9"/>
  <c r="Q31" i="9"/>
  <c r="F58" i="7" l="1"/>
  <c r="AB58" i="7" s="1"/>
  <c r="Z17" i="7"/>
  <c r="X58" i="7"/>
  <c r="G58" i="7"/>
  <c r="O4" i="8"/>
  <c r="AL42" i="9"/>
  <c r="Z42" i="9"/>
  <c r="AF42" i="9"/>
  <c r="N42" i="9"/>
  <c r="T42" i="9"/>
  <c r="H43" i="9"/>
  <c r="B43" i="9"/>
  <c r="AL31" i="9"/>
  <c r="AF31" i="9"/>
  <c r="AX31" i="9"/>
  <c r="AR31" i="9"/>
  <c r="T31" i="9"/>
  <c r="Z31" i="9"/>
  <c r="H31" i="9"/>
  <c r="N31" i="9"/>
  <c r="N9" i="8"/>
  <c r="H11" i="8"/>
  <c r="J11" i="8" s="1"/>
  <c r="K11" i="8"/>
  <c r="I10" i="8"/>
  <c r="B32" i="9" s="1"/>
  <c r="Y58" i="7"/>
  <c r="Z71" i="7"/>
  <c r="Z64" i="7"/>
  <c r="Z58" i="7"/>
  <c r="AD40" i="7"/>
  <c r="AE30" i="7"/>
  <c r="AD30" i="7"/>
  <c r="O65" i="7"/>
  <c r="AE31" i="7"/>
  <c r="AD31" i="7"/>
  <c r="U45" i="7"/>
  <c r="AC41" i="7"/>
  <c r="AD70" i="7"/>
  <c r="AE70" i="7"/>
  <c r="Z69" i="7"/>
  <c r="AA69" i="7"/>
  <c r="AE67" i="7"/>
  <c r="AD67" i="7"/>
  <c r="AA58" i="7"/>
  <c r="AA71" i="7"/>
  <c r="AG58" i="7"/>
  <c r="AB45" i="7"/>
  <c r="O64" i="7"/>
  <c r="AE8" i="7"/>
  <c r="AD8" i="7"/>
  <c r="O17" i="7"/>
  <c r="AD56" i="7"/>
  <c r="AE56" i="7"/>
  <c r="AB66" i="7"/>
  <c r="M71" i="7"/>
  <c r="AB71" i="7" s="1"/>
  <c r="D32" i="9"/>
  <c r="W32" i="9"/>
  <c r="AB44" i="9"/>
  <c r="BA32" i="9"/>
  <c r="D44" i="9"/>
  <c r="F32" i="9"/>
  <c r="AD32" i="9"/>
  <c r="AV32" i="9"/>
  <c r="AI44" i="9"/>
  <c r="AT32" i="9"/>
  <c r="X32" i="9"/>
  <c r="L32" i="9"/>
  <c r="AJ44" i="9"/>
  <c r="AH32" i="9"/>
  <c r="E32" i="9"/>
  <c r="AB32" i="9"/>
  <c r="Q32" i="9"/>
  <c r="J32" i="9"/>
  <c r="AP32" i="9"/>
  <c r="AI32" i="9"/>
  <c r="AH44" i="9"/>
  <c r="AU32" i="9"/>
  <c r="AN32" i="9"/>
  <c r="AO32" i="9"/>
  <c r="J44" i="9"/>
  <c r="V32" i="9"/>
  <c r="AN44" i="9"/>
  <c r="AC32" i="9"/>
  <c r="AZ32" i="9"/>
  <c r="AJ32" i="9"/>
  <c r="R32" i="9"/>
  <c r="K32" i="9"/>
  <c r="P32" i="9"/>
  <c r="P44" i="9"/>
  <c r="BB32" i="9"/>
  <c r="E33" i="9"/>
  <c r="AL43" i="9" l="1"/>
  <c r="Z43" i="9"/>
  <c r="AF43" i="9"/>
  <c r="N43" i="9"/>
  <c r="T43" i="9"/>
  <c r="H44" i="9"/>
  <c r="B44" i="9"/>
  <c r="AL32" i="9"/>
  <c r="AF32" i="9"/>
  <c r="AX32" i="9"/>
  <c r="AR32" i="9"/>
  <c r="T32" i="9"/>
  <c r="Z32" i="9"/>
  <c r="H32" i="9"/>
  <c r="N32" i="9"/>
  <c r="N10" i="8"/>
  <c r="I11" i="8"/>
  <c r="B33" i="9" s="1"/>
  <c r="AD69" i="7"/>
  <c r="AE69" i="7"/>
  <c r="AD64" i="7"/>
  <c r="O71" i="7"/>
  <c r="AE64" i="7"/>
  <c r="AE65" i="7"/>
  <c r="AD65" i="7"/>
  <c r="O58" i="7"/>
  <c r="AD17" i="7"/>
  <c r="AE17" i="7"/>
  <c r="U66" i="7"/>
  <c r="AC45" i="7"/>
  <c r="U58" i="7"/>
  <c r="AC58" i="7" s="1"/>
  <c r="AC33" i="9"/>
  <c r="AU33" i="9"/>
  <c r="AI45" i="9"/>
  <c r="AD33" i="9"/>
  <c r="AB33" i="9"/>
  <c r="AP33" i="9"/>
  <c r="AN33" i="9"/>
  <c r="X33" i="9"/>
  <c r="BA33" i="9"/>
  <c r="BB33" i="9"/>
  <c r="W33" i="9"/>
  <c r="AH33" i="9"/>
  <c r="AZ33" i="9"/>
  <c r="K33" i="9"/>
  <c r="AI33" i="9"/>
  <c r="AV33" i="9"/>
  <c r="AB45" i="9"/>
  <c r="F33" i="9"/>
  <c r="R33" i="9"/>
  <c r="AJ45" i="9"/>
  <c r="Q33" i="9"/>
  <c r="AJ33" i="9"/>
  <c r="L33" i="9"/>
  <c r="AO33" i="9"/>
  <c r="J45" i="9"/>
  <c r="AL44" i="9" l="1"/>
  <c r="Z44" i="9"/>
  <c r="AF44" i="9"/>
  <c r="N44" i="9"/>
  <c r="T44" i="9"/>
  <c r="H45" i="9"/>
  <c r="B45" i="9"/>
  <c r="AL33" i="9"/>
  <c r="AF33" i="9"/>
  <c r="AX33" i="9"/>
  <c r="AR33" i="9"/>
  <c r="T33" i="9"/>
  <c r="Z33" i="9"/>
  <c r="H33" i="9"/>
  <c r="N33" i="9"/>
  <c r="N11" i="8"/>
  <c r="O3" i="8" s="1"/>
  <c r="AE58" i="7"/>
  <c r="AD58" i="7"/>
  <c r="AD71" i="7"/>
  <c r="AE71" i="7"/>
  <c r="AC66" i="7"/>
  <c r="U71" i="7"/>
  <c r="AC71" i="7" s="1"/>
  <c r="B14" i="9"/>
  <c r="AL45" i="9" l="1"/>
  <c r="Z45" i="9"/>
  <c r="AF45" i="9"/>
  <c r="N45" i="9"/>
  <c r="T45" i="9"/>
  <c r="I4" i="9"/>
  <c r="D4" i="9"/>
  <c r="B16" i="9"/>
  <c r="G15" i="9"/>
  <c r="B13" i="9"/>
  <c r="B18" i="9"/>
  <c r="G12" i="9"/>
  <c r="G11" i="9"/>
  <c r="B12" i="9"/>
  <c r="G16" i="9"/>
  <c r="B11" i="9"/>
  <c r="B15" i="9"/>
  <c r="B19" i="9"/>
  <c r="G17" i="9"/>
  <c r="B17" i="9"/>
  <c r="G13" i="9"/>
  <c r="G14" i="9"/>
  <c r="S15" i="6" l="1"/>
  <c r="S19" i="6"/>
  <c r="S12" i="6"/>
  <c r="S11" i="6"/>
  <c r="S13" i="6"/>
  <c r="D10" i="8"/>
  <c r="W49" i="6" s="1"/>
  <c r="S14" i="6"/>
  <c r="S17" i="6"/>
  <c r="S18" i="6"/>
  <c r="S16" i="6"/>
  <c r="U4" i="6"/>
  <c r="B4" i="6" s="1"/>
  <c r="F70" i="1"/>
  <c r="G70" i="1"/>
  <c r="H70" i="1"/>
  <c r="I70" i="1"/>
  <c r="J70" i="1"/>
  <c r="K70" i="1"/>
  <c r="L70" i="1"/>
  <c r="M70" i="1"/>
  <c r="N70" i="1"/>
  <c r="O70" i="1"/>
  <c r="P70" i="1"/>
  <c r="Q70" i="1"/>
  <c r="R70" i="1"/>
  <c r="S70" i="1"/>
  <c r="T70" i="1"/>
  <c r="U70" i="1"/>
  <c r="V70" i="1"/>
  <c r="W70" i="1"/>
  <c r="F68" i="1"/>
  <c r="G68" i="1"/>
  <c r="H68" i="1"/>
  <c r="I68" i="1"/>
  <c r="J68" i="1"/>
  <c r="K68" i="1"/>
  <c r="L68" i="1"/>
  <c r="M68" i="1"/>
  <c r="N68" i="1"/>
  <c r="O68" i="1"/>
  <c r="P68" i="1"/>
  <c r="Q68" i="1"/>
  <c r="R68" i="1"/>
  <c r="S68" i="1"/>
  <c r="T68" i="1"/>
  <c r="U68" i="1"/>
  <c r="V68" i="1"/>
  <c r="W68" i="1"/>
  <c r="E67" i="1"/>
  <c r="F67" i="1"/>
  <c r="G67" i="1"/>
  <c r="H67" i="1"/>
  <c r="I67" i="1"/>
  <c r="J67" i="1"/>
  <c r="K67" i="1"/>
  <c r="L67" i="1"/>
  <c r="M67" i="1"/>
  <c r="N67" i="1"/>
  <c r="O67" i="1"/>
  <c r="P67" i="1"/>
  <c r="Q67" i="1"/>
  <c r="R67" i="1"/>
  <c r="S67" i="1"/>
  <c r="T67" i="1"/>
  <c r="U67" i="1"/>
  <c r="V67" i="1"/>
  <c r="W67" i="1"/>
  <c r="F65" i="1"/>
  <c r="F66" i="1"/>
  <c r="G66" i="1"/>
  <c r="H66" i="1"/>
  <c r="J66" i="1"/>
  <c r="L66" i="1"/>
  <c r="M66" i="1"/>
  <c r="N66" i="1"/>
  <c r="O66" i="1"/>
  <c r="P66" i="1"/>
  <c r="Q66" i="1"/>
  <c r="R66" i="1"/>
  <c r="U66" i="1"/>
  <c r="V66" i="1"/>
  <c r="W66" i="1"/>
  <c r="AP45" i="9"/>
  <c r="AP44" i="9"/>
  <c r="AC44" i="9"/>
  <c r="AO45" i="9"/>
  <c r="X45" i="9"/>
  <c r="AN42" i="9"/>
  <c r="W42" i="9"/>
  <c r="X43" i="9"/>
  <c r="AO42" i="9"/>
  <c r="W44" i="9"/>
  <c r="AP42" i="9"/>
  <c r="W45" i="9"/>
  <c r="AD43" i="9"/>
  <c r="AD42" i="9"/>
  <c r="AD45" i="9"/>
  <c r="V42" i="9"/>
  <c r="AC45" i="9"/>
  <c r="AD44" i="9"/>
  <c r="V44" i="9"/>
  <c r="AP43" i="9"/>
  <c r="X44" i="9"/>
  <c r="AB42" i="9"/>
  <c r="AC43" i="9"/>
  <c r="AC42" i="9"/>
  <c r="W43" i="9"/>
  <c r="X42" i="9"/>
  <c r="AO43" i="9"/>
  <c r="AO44" i="9"/>
  <c r="I66" i="1" l="1"/>
  <c r="T66" i="1"/>
  <c r="K66" i="1"/>
  <c r="S66" i="1"/>
  <c r="U48" i="6"/>
  <c r="S49" i="6"/>
  <c r="V41" i="6"/>
  <c r="S46" i="6"/>
  <c r="V48" i="6"/>
  <c r="W40" i="6"/>
  <c r="V40" i="6"/>
  <c r="S39" i="6"/>
  <c r="U40" i="6"/>
  <c r="V49" i="6"/>
  <c r="U39" i="6"/>
  <c r="B39" i="6" s="1"/>
  <c r="U41" i="6"/>
  <c r="S41" i="6"/>
  <c r="S47" i="6"/>
  <c r="S40" i="6"/>
  <c r="W48" i="6"/>
  <c r="S48" i="6"/>
  <c r="W41" i="6"/>
  <c r="AG70" i="1"/>
  <c r="AB70" i="1"/>
  <c r="AA70" i="1"/>
  <c r="Y70" i="1"/>
  <c r="D70" i="1"/>
  <c r="AG68" i="1"/>
  <c r="AA68" i="1"/>
  <c r="Y68" i="1"/>
  <c r="AF67" i="1"/>
  <c r="AE67" i="1"/>
  <c r="AB67" i="1"/>
  <c r="AA67" i="1"/>
  <c r="D67" i="1"/>
  <c r="AG57" i="1"/>
  <c r="AF57" i="1"/>
  <c r="AE57" i="1"/>
  <c r="AD57" i="1"/>
  <c r="AC57" i="1"/>
  <c r="AB57" i="1"/>
  <c r="AA57" i="1"/>
  <c r="Z57" i="1"/>
  <c r="Y57" i="1"/>
  <c r="X57" i="1"/>
  <c r="Y56" i="1"/>
  <c r="D56" i="1"/>
  <c r="AG55" i="1"/>
  <c r="AF55" i="1"/>
  <c r="AE55" i="1"/>
  <c r="AD55" i="1"/>
  <c r="AC55" i="1"/>
  <c r="AB55" i="1"/>
  <c r="AA55" i="1"/>
  <c r="Z55" i="1"/>
  <c r="Y55" i="1"/>
  <c r="X55" i="1"/>
  <c r="Y54" i="1"/>
  <c r="X54" i="1"/>
  <c r="AG53" i="1"/>
  <c r="AF53" i="1"/>
  <c r="AE53" i="1"/>
  <c r="AD53" i="1"/>
  <c r="AC53" i="1"/>
  <c r="AB53" i="1"/>
  <c r="AA53" i="1"/>
  <c r="Z53" i="1"/>
  <c r="Y53" i="1"/>
  <c r="X53" i="1"/>
  <c r="AG52" i="1"/>
  <c r="AF52" i="1"/>
  <c r="AE52" i="1"/>
  <c r="AD52" i="1"/>
  <c r="AC52" i="1"/>
  <c r="AB52" i="1"/>
  <c r="AA52" i="1"/>
  <c r="Z52" i="1"/>
  <c r="Y52" i="1"/>
  <c r="X52" i="1"/>
  <c r="AG51" i="1"/>
  <c r="AF51" i="1"/>
  <c r="AE51" i="1"/>
  <c r="AD51" i="1"/>
  <c r="AC51" i="1"/>
  <c r="AB51" i="1"/>
  <c r="AA51" i="1"/>
  <c r="Z51" i="1"/>
  <c r="Y51" i="1"/>
  <c r="X51" i="1"/>
  <c r="AG49" i="1"/>
  <c r="AF49" i="1"/>
  <c r="AE49" i="1"/>
  <c r="AD49" i="1"/>
  <c r="AC49" i="1"/>
  <c r="AB49" i="1"/>
  <c r="AA49" i="1"/>
  <c r="Z49" i="1"/>
  <c r="Y49" i="1"/>
  <c r="X49" i="1"/>
  <c r="AG48" i="1"/>
  <c r="AF48" i="1"/>
  <c r="AE48" i="1"/>
  <c r="AD48" i="1"/>
  <c r="AC48" i="1"/>
  <c r="AB48" i="1"/>
  <c r="AA48" i="1"/>
  <c r="Z48" i="1"/>
  <c r="Y48" i="1"/>
  <c r="X48" i="1"/>
  <c r="AG47" i="1"/>
  <c r="AF47" i="1"/>
  <c r="AE47" i="1"/>
  <c r="AD47" i="1"/>
  <c r="AC47" i="1"/>
  <c r="AB47" i="1"/>
  <c r="AA47" i="1"/>
  <c r="Z47" i="1"/>
  <c r="Y47" i="1"/>
  <c r="X47" i="1"/>
  <c r="AG46" i="1"/>
  <c r="AF46" i="1"/>
  <c r="AE46" i="1"/>
  <c r="AD46" i="1"/>
  <c r="AC46" i="1"/>
  <c r="AB46" i="1"/>
  <c r="AA46" i="1"/>
  <c r="Z46" i="1"/>
  <c r="Y46" i="1"/>
  <c r="X46" i="1"/>
  <c r="D45" i="1"/>
  <c r="AG44" i="1"/>
  <c r="AF44" i="1"/>
  <c r="AE44" i="1"/>
  <c r="AD44" i="1"/>
  <c r="AC44" i="1"/>
  <c r="AB44" i="1"/>
  <c r="AA44" i="1"/>
  <c r="Z44" i="1"/>
  <c r="Y44" i="1"/>
  <c r="X44" i="1"/>
  <c r="AG43" i="1"/>
  <c r="AF43" i="1"/>
  <c r="AE43" i="1"/>
  <c r="AD43" i="1"/>
  <c r="AC43" i="1"/>
  <c r="AB43" i="1"/>
  <c r="AA43" i="1"/>
  <c r="Z43" i="1"/>
  <c r="Y43" i="1"/>
  <c r="X43" i="1"/>
  <c r="AG42" i="1"/>
  <c r="AF42" i="1"/>
  <c r="AE42" i="1"/>
  <c r="AD42" i="1"/>
  <c r="AC42" i="1"/>
  <c r="AB42" i="1"/>
  <c r="AA42" i="1"/>
  <c r="Z42" i="1"/>
  <c r="Y42" i="1"/>
  <c r="X42" i="1"/>
  <c r="AG41" i="1"/>
  <c r="AF41" i="1"/>
  <c r="AE41" i="1"/>
  <c r="AD41" i="1"/>
  <c r="AC41" i="1"/>
  <c r="AB41" i="1"/>
  <c r="AA41" i="1"/>
  <c r="Z41" i="1"/>
  <c r="Y41" i="1"/>
  <c r="X41" i="1"/>
  <c r="D40" i="1"/>
  <c r="AG39" i="1"/>
  <c r="AF39" i="1"/>
  <c r="AE39" i="1"/>
  <c r="AD39" i="1"/>
  <c r="AC39" i="1"/>
  <c r="AB39" i="1"/>
  <c r="AA39" i="1"/>
  <c r="Z39" i="1"/>
  <c r="Y39" i="1"/>
  <c r="X39" i="1"/>
  <c r="AG38" i="1"/>
  <c r="AF38" i="1"/>
  <c r="AE38" i="1"/>
  <c r="AD38" i="1"/>
  <c r="AC38" i="1"/>
  <c r="AB38" i="1"/>
  <c r="AA38" i="1"/>
  <c r="Z38" i="1"/>
  <c r="Y38" i="1"/>
  <c r="X38" i="1"/>
  <c r="AG37" i="1"/>
  <c r="AF37" i="1"/>
  <c r="AE37" i="1"/>
  <c r="AD37" i="1"/>
  <c r="AC37" i="1"/>
  <c r="AB37" i="1"/>
  <c r="AA37" i="1"/>
  <c r="Z37" i="1"/>
  <c r="Y37" i="1"/>
  <c r="X37" i="1"/>
  <c r="AG36" i="1"/>
  <c r="AF36" i="1"/>
  <c r="AE36" i="1"/>
  <c r="AD36" i="1"/>
  <c r="AC36" i="1"/>
  <c r="AB36" i="1"/>
  <c r="AA36" i="1"/>
  <c r="Z36" i="1"/>
  <c r="Y36" i="1"/>
  <c r="X36" i="1"/>
  <c r="AG35" i="1"/>
  <c r="AF35" i="1"/>
  <c r="AE35" i="1"/>
  <c r="AD35" i="1"/>
  <c r="AC35" i="1"/>
  <c r="AB35" i="1"/>
  <c r="AA35" i="1"/>
  <c r="Z35" i="1"/>
  <c r="Y35" i="1"/>
  <c r="X35" i="1"/>
  <c r="AG34" i="1"/>
  <c r="AF34" i="1"/>
  <c r="AE34" i="1"/>
  <c r="AD34" i="1"/>
  <c r="AC34" i="1"/>
  <c r="AB34" i="1"/>
  <c r="AA34" i="1"/>
  <c r="Z34" i="1"/>
  <c r="Y34" i="1"/>
  <c r="X34" i="1"/>
  <c r="AG33" i="1"/>
  <c r="AF33" i="1"/>
  <c r="AE33" i="1"/>
  <c r="AD33" i="1"/>
  <c r="AC33" i="1"/>
  <c r="AB33" i="1"/>
  <c r="AA33" i="1"/>
  <c r="Z33" i="1"/>
  <c r="Y33" i="1"/>
  <c r="X33" i="1"/>
  <c r="AG32" i="1"/>
  <c r="AF32" i="1"/>
  <c r="AE32" i="1"/>
  <c r="AD32" i="1"/>
  <c r="AC32" i="1"/>
  <c r="AB32" i="1"/>
  <c r="AA32" i="1"/>
  <c r="Z32" i="1"/>
  <c r="Y32" i="1"/>
  <c r="X32" i="1"/>
  <c r="W65" i="1"/>
  <c r="V65" i="1"/>
  <c r="U65" i="1"/>
  <c r="T65" i="1"/>
  <c r="S65" i="1"/>
  <c r="R65" i="1"/>
  <c r="P65" i="1"/>
  <c r="O65" i="1"/>
  <c r="N65" i="1"/>
  <c r="M65" i="1"/>
  <c r="L65" i="1"/>
  <c r="K65" i="1"/>
  <c r="J65" i="1"/>
  <c r="H65" i="1"/>
  <c r="G65" i="1"/>
  <c r="AG29" i="1"/>
  <c r="AF29" i="1"/>
  <c r="AE29" i="1"/>
  <c r="AD29" i="1"/>
  <c r="AC29" i="1"/>
  <c r="AB29" i="1"/>
  <c r="AA29" i="1"/>
  <c r="Z29" i="1"/>
  <c r="Y29" i="1"/>
  <c r="X29" i="1"/>
  <c r="AG28" i="1"/>
  <c r="AF28" i="1"/>
  <c r="AE28" i="1"/>
  <c r="AD28" i="1"/>
  <c r="AC28" i="1"/>
  <c r="AB28" i="1"/>
  <c r="AA28" i="1"/>
  <c r="Z28" i="1"/>
  <c r="Y28" i="1"/>
  <c r="X28" i="1"/>
  <c r="AG27" i="1"/>
  <c r="AF27" i="1"/>
  <c r="AE27" i="1"/>
  <c r="AD27" i="1"/>
  <c r="AC27" i="1"/>
  <c r="AB27" i="1"/>
  <c r="AA27" i="1"/>
  <c r="Z27" i="1"/>
  <c r="Y27" i="1"/>
  <c r="X27" i="1"/>
  <c r="AG26" i="1"/>
  <c r="AF26" i="1"/>
  <c r="AE26" i="1"/>
  <c r="AD26" i="1"/>
  <c r="AC26" i="1"/>
  <c r="AB26" i="1"/>
  <c r="AA26" i="1"/>
  <c r="Z26" i="1"/>
  <c r="Y26" i="1"/>
  <c r="X26" i="1"/>
  <c r="AG25" i="1"/>
  <c r="AF25" i="1"/>
  <c r="AE25" i="1"/>
  <c r="AD25" i="1"/>
  <c r="AC25" i="1"/>
  <c r="AB25" i="1"/>
  <c r="AA25" i="1"/>
  <c r="Z25" i="1"/>
  <c r="Y25" i="1"/>
  <c r="X25" i="1"/>
  <c r="AG24" i="1"/>
  <c r="AF24" i="1"/>
  <c r="AE24" i="1"/>
  <c r="AD24" i="1"/>
  <c r="AC24" i="1"/>
  <c r="AB24" i="1"/>
  <c r="AA24" i="1"/>
  <c r="Z24" i="1"/>
  <c r="Y24" i="1"/>
  <c r="X24" i="1"/>
  <c r="AG23" i="1"/>
  <c r="AF23" i="1"/>
  <c r="AE23" i="1"/>
  <c r="AD23" i="1"/>
  <c r="AC23" i="1"/>
  <c r="AB23" i="1"/>
  <c r="AA23" i="1"/>
  <c r="Z23" i="1"/>
  <c r="Y23" i="1"/>
  <c r="X23" i="1"/>
  <c r="AG22" i="1"/>
  <c r="AF22" i="1"/>
  <c r="AE22" i="1"/>
  <c r="AD22" i="1"/>
  <c r="AC22" i="1"/>
  <c r="AB22" i="1"/>
  <c r="AA22" i="1"/>
  <c r="Z22" i="1"/>
  <c r="Y22" i="1"/>
  <c r="X22" i="1"/>
  <c r="AG21" i="1"/>
  <c r="AF21" i="1"/>
  <c r="AE21" i="1"/>
  <c r="AD21" i="1"/>
  <c r="AC21" i="1"/>
  <c r="AB21" i="1"/>
  <c r="AA21" i="1"/>
  <c r="Z21" i="1"/>
  <c r="Y21" i="1"/>
  <c r="X21" i="1"/>
  <c r="D20" i="1"/>
  <c r="D31" i="1" s="1"/>
  <c r="AG19" i="1"/>
  <c r="AF19" i="1"/>
  <c r="AE19" i="1"/>
  <c r="AD19" i="1"/>
  <c r="AC19" i="1"/>
  <c r="AB19" i="1"/>
  <c r="AA19" i="1"/>
  <c r="Z19" i="1"/>
  <c r="Y19" i="1"/>
  <c r="X19" i="1"/>
  <c r="AG18" i="1"/>
  <c r="AF18" i="1"/>
  <c r="AE18" i="1"/>
  <c r="AD18" i="1"/>
  <c r="AC18" i="1"/>
  <c r="AB18" i="1"/>
  <c r="AA18" i="1"/>
  <c r="Z18" i="1"/>
  <c r="Y18" i="1"/>
  <c r="X18" i="1"/>
  <c r="AG16" i="1"/>
  <c r="AF16" i="1"/>
  <c r="AE16" i="1"/>
  <c r="AD16" i="1"/>
  <c r="AC16" i="1"/>
  <c r="AB16" i="1"/>
  <c r="AA16" i="1"/>
  <c r="Z16" i="1"/>
  <c r="Y16" i="1"/>
  <c r="X16" i="1"/>
  <c r="AG15" i="1"/>
  <c r="AF15" i="1"/>
  <c r="AE15" i="1"/>
  <c r="AD15" i="1"/>
  <c r="AC15" i="1"/>
  <c r="AB15" i="1"/>
  <c r="AA15" i="1"/>
  <c r="Z15" i="1"/>
  <c r="Y15" i="1"/>
  <c r="X15" i="1"/>
  <c r="AG14" i="1"/>
  <c r="AF14" i="1"/>
  <c r="AE14" i="1"/>
  <c r="AD14" i="1"/>
  <c r="AC14" i="1"/>
  <c r="AB14" i="1"/>
  <c r="AA14" i="1"/>
  <c r="Z14" i="1"/>
  <c r="Y14" i="1"/>
  <c r="X14" i="1"/>
  <c r="AG13" i="1"/>
  <c r="AF13" i="1"/>
  <c r="AE13" i="1"/>
  <c r="AD13" i="1"/>
  <c r="AC13" i="1"/>
  <c r="AB13" i="1"/>
  <c r="AA13" i="1"/>
  <c r="Z13" i="1"/>
  <c r="Y13" i="1"/>
  <c r="X13" i="1"/>
  <c r="AG12" i="1"/>
  <c r="AF12" i="1"/>
  <c r="AE12" i="1"/>
  <c r="AD12" i="1"/>
  <c r="AC12" i="1"/>
  <c r="AB12" i="1"/>
  <c r="AA12" i="1"/>
  <c r="Z12" i="1"/>
  <c r="Y12" i="1"/>
  <c r="X12" i="1"/>
  <c r="AG10" i="1"/>
  <c r="AF10" i="1"/>
  <c r="AE10" i="1"/>
  <c r="AD10" i="1"/>
  <c r="AC10" i="1"/>
  <c r="AB10" i="1"/>
  <c r="AA10" i="1"/>
  <c r="Z10" i="1"/>
  <c r="Y10" i="1"/>
  <c r="X10" i="1"/>
  <c r="AG9" i="1"/>
  <c r="AF9" i="1"/>
  <c r="AE9" i="1"/>
  <c r="AD9" i="1"/>
  <c r="AC9" i="1"/>
  <c r="AB9" i="1"/>
  <c r="AA9" i="1"/>
  <c r="Z9" i="1"/>
  <c r="Y9" i="1"/>
  <c r="X9" i="1"/>
  <c r="S64" i="1"/>
  <c r="D8" i="1"/>
  <c r="D64" i="1" s="1"/>
  <c r="AG7" i="1"/>
  <c r="AF7" i="1"/>
  <c r="AE7" i="1"/>
  <c r="AD7" i="1"/>
  <c r="AC7" i="1"/>
  <c r="AB7" i="1"/>
  <c r="AA7" i="1"/>
  <c r="Z7" i="1"/>
  <c r="Y7" i="1"/>
  <c r="X7" i="1"/>
  <c r="AG6" i="1"/>
  <c r="AF6" i="1"/>
  <c r="AE6" i="1"/>
  <c r="AD6" i="1"/>
  <c r="AC6" i="1"/>
  <c r="AB6" i="1"/>
  <c r="AA6" i="1"/>
  <c r="Z6" i="1"/>
  <c r="Y6" i="1"/>
  <c r="X6" i="1"/>
  <c r="AG5" i="1"/>
  <c r="AF5" i="1"/>
  <c r="AE5" i="1"/>
  <c r="AD5" i="1"/>
  <c r="AC5" i="1"/>
  <c r="AB5" i="1"/>
  <c r="AA5" i="1"/>
  <c r="Y5" i="1"/>
  <c r="X5" i="1"/>
  <c r="D16" i="9"/>
  <c r="P42" i="9"/>
  <c r="AB43" i="9"/>
  <c r="D15" i="9"/>
  <c r="E19" i="9"/>
  <c r="Q43" i="9"/>
  <c r="L45" i="9"/>
  <c r="E16" i="9"/>
  <c r="AN45" i="9"/>
  <c r="L43" i="9"/>
  <c r="AT33" i="9"/>
  <c r="R44" i="9"/>
  <c r="AN43" i="9"/>
  <c r="F45" i="9"/>
  <c r="L44" i="9"/>
  <c r="AT31" i="9"/>
  <c r="R43" i="9"/>
  <c r="K42" i="9"/>
  <c r="V33" i="9"/>
  <c r="L42" i="9"/>
  <c r="P31" i="9"/>
  <c r="V43" i="9"/>
  <c r="J33" i="9"/>
  <c r="J43" i="9"/>
  <c r="P33" i="9"/>
  <c r="R45" i="9"/>
  <c r="Q45" i="9"/>
  <c r="K44" i="9"/>
  <c r="J31" i="9"/>
  <c r="J42" i="9"/>
  <c r="D19" i="9"/>
  <c r="V31" i="9"/>
  <c r="D45" i="9"/>
  <c r="E15" i="9"/>
  <c r="R42" i="9"/>
  <c r="V45" i="9"/>
  <c r="Q42" i="9"/>
  <c r="Q44" i="9"/>
  <c r="D66" i="1" l="1"/>
  <c r="D71" i="1" s="1"/>
  <c r="D69" i="1"/>
  <c r="X67" i="1"/>
  <c r="V19" i="6"/>
  <c r="Z69" i="1"/>
  <c r="H71" i="1"/>
  <c r="L64" i="1"/>
  <c r="L71" i="1" s="1"/>
  <c r="P64" i="1"/>
  <c r="P71" i="1" s="1"/>
  <c r="T64" i="1"/>
  <c r="I65" i="1"/>
  <c r="Q65" i="1"/>
  <c r="AF65" i="1" s="1"/>
  <c r="M64" i="1"/>
  <c r="M71" i="1" s="1"/>
  <c r="Q64" i="1"/>
  <c r="F64" i="1"/>
  <c r="F71" i="1" s="1"/>
  <c r="R64" i="1"/>
  <c r="R71" i="1" s="1"/>
  <c r="V64" i="1"/>
  <c r="V71" i="1" s="1"/>
  <c r="I64" i="1"/>
  <c r="U64" i="1"/>
  <c r="J64" i="1"/>
  <c r="J71" i="1" s="1"/>
  <c r="N64" i="1"/>
  <c r="N71" i="1" s="1"/>
  <c r="G64" i="1"/>
  <c r="G71" i="1" s="1"/>
  <c r="K64" i="1"/>
  <c r="O64" i="1"/>
  <c r="O71" i="1" s="1"/>
  <c r="S71" i="1"/>
  <c r="W64" i="1"/>
  <c r="W71" i="1" s="1"/>
  <c r="AF69" i="1"/>
  <c r="AB65" i="1"/>
  <c r="AB68" i="1"/>
  <c r="AB20" i="1"/>
  <c r="AE54" i="1"/>
  <c r="Y67" i="1"/>
  <c r="AC67" i="1"/>
  <c r="AG67" i="1"/>
  <c r="AD68" i="1"/>
  <c r="AC68" i="1"/>
  <c r="AD70" i="1"/>
  <c r="AC70" i="1"/>
  <c r="X31" i="1"/>
  <c r="AB31" i="1"/>
  <c r="AF20" i="1"/>
  <c r="AE30" i="1"/>
  <c r="X40" i="1"/>
  <c r="AA40" i="1"/>
  <c r="AB40" i="1"/>
  <c r="AE40" i="1"/>
  <c r="AF40" i="1"/>
  <c r="Y40" i="1"/>
  <c r="AC40" i="1"/>
  <c r="AG40" i="1"/>
  <c r="Z66" i="1"/>
  <c r="AB66" i="1"/>
  <c r="AF66" i="1"/>
  <c r="Y66" i="1"/>
  <c r="AG66" i="1"/>
  <c r="X50" i="1"/>
  <c r="AA50" i="1"/>
  <c r="AB50" i="1"/>
  <c r="AE50" i="1"/>
  <c r="AF50" i="1"/>
  <c r="Y50" i="1"/>
  <c r="AC50" i="1"/>
  <c r="AG50" i="1"/>
  <c r="AB54" i="1"/>
  <c r="AG54" i="1"/>
  <c r="X69" i="1"/>
  <c r="AE68" i="1"/>
  <c r="AE70" i="1"/>
  <c r="AA54" i="1"/>
  <c r="Z54" i="1"/>
  <c r="AD54" i="1"/>
  <c r="AD69" i="1"/>
  <c r="AC31" i="1"/>
  <c r="Y31" i="1"/>
  <c r="AA8" i="1"/>
  <c r="Z31" i="1"/>
  <c r="Z20" i="1"/>
  <c r="AD31" i="1"/>
  <c r="AD20" i="1"/>
  <c r="AG20" i="1"/>
  <c r="AC65" i="1"/>
  <c r="AF31" i="1"/>
  <c r="AD66" i="1"/>
  <c r="AC69" i="1"/>
  <c r="AC56" i="1"/>
  <c r="X8" i="1"/>
  <c r="AB8" i="1"/>
  <c r="AF8" i="1"/>
  <c r="D17" i="1"/>
  <c r="AA31" i="1"/>
  <c r="X20" i="1"/>
  <c r="AC20" i="1"/>
  <c r="AA66" i="1"/>
  <c r="AE69" i="1"/>
  <c r="Y8" i="1"/>
  <c r="AG8" i="1"/>
  <c r="Y20" i="1"/>
  <c r="AE20" i="1"/>
  <c r="Z65" i="1"/>
  <c r="Z30" i="1"/>
  <c r="AD65" i="1"/>
  <c r="AD30" i="1"/>
  <c r="Y30" i="1"/>
  <c r="AG30" i="1"/>
  <c r="AC66" i="1"/>
  <c r="AB69" i="1"/>
  <c r="AE8" i="1"/>
  <c r="AC8" i="1"/>
  <c r="Z8" i="1"/>
  <c r="AD8" i="1"/>
  <c r="AA20" i="1"/>
  <c r="AA65" i="1"/>
  <c r="AA30" i="1"/>
  <c r="AE66" i="1"/>
  <c r="AA56" i="1"/>
  <c r="Z40" i="1"/>
  <c r="AD40" i="1"/>
  <c r="X45" i="1"/>
  <c r="AB45" i="1"/>
  <c r="AF45" i="1"/>
  <c r="Z50" i="1"/>
  <c r="AD50" i="1"/>
  <c r="Z56" i="1"/>
  <c r="Z67" i="1"/>
  <c r="AD67" i="1"/>
  <c r="X68" i="1"/>
  <c r="AF68" i="1"/>
  <c r="X70" i="1"/>
  <c r="AF70" i="1"/>
  <c r="Y45" i="1"/>
  <c r="AC45" i="1"/>
  <c r="AG45" i="1"/>
  <c r="Y69" i="1"/>
  <c r="X30" i="1"/>
  <c r="AB30" i="1"/>
  <c r="AF30" i="1"/>
  <c r="Z45" i="1"/>
  <c r="AD45" i="1"/>
  <c r="X56" i="1"/>
  <c r="AB56" i="1"/>
  <c r="AF56" i="1"/>
  <c r="Z68" i="1"/>
  <c r="Z70" i="1"/>
  <c r="AC30" i="1"/>
  <c r="AA45" i="1"/>
  <c r="AE45" i="1"/>
  <c r="AC54" i="1"/>
  <c r="I13" i="9"/>
  <c r="D43" i="9"/>
  <c r="E42" i="9"/>
  <c r="AH43" i="9"/>
  <c r="I16" i="9"/>
  <c r="I14" i="9"/>
  <c r="J14" i="9"/>
  <c r="D12" i="9"/>
  <c r="D33" i="9"/>
  <c r="E13" i="9"/>
  <c r="D17" i="9"/>
  <c r="E14" i="9"/>
  <c r="F43" i="9"/>
  <c r="K45" i="9"/>
  <c r="E43" i="9"/>
  <c r="D13" i="9"/>
  <c r="E45" i="9"/>
  <c r="J15" i="9"/>
  <c r="D42" i="9"/>
  <c r="I15" i="9"/>
  <c r="F44" i="9"/>
  <c r="E44" i="9"/>
  <c r="J13" i="9"/>
  <c r="F42" i="9"/>
  <c r="K43" i="9"/>
  <c r="D14" i="9"/>
  <c r="I12" i="9"/>
  <c r="J17" i="9"/>
  <c r="E17" i="9"/>
  <c r="P43" i="9"/>
  <c r="AH45" i="9"/>
  <c r="D31" i="9"/>
  <c r="I17" i="9"/>
  <c r="P45" i="9"/>
  <c r="U49" i="6" l="1"/>
  <c r="U71" i="1"/>
  <c r="X64" i="1"/>
  <c r="X66" i="1"/>
  <c r="Y65" i="1"/>
  <c r="U19" i="6"/>
  <c r="V15" i="6"/>
  <c r="U15" i="6"/>
  <c r="U16" i="6"/>
  <c r="AB64" i="1"/>
  <c r="AG65" i="1"/>
  <c r="Q71" i="1"/>
  <c r="AF71" i="1" s="1"/>
  <c r="AD64" i="1"/>
  <c r="AE64" i="1"/>
  <c r="Y64" i="1"/>
  <c r="AA69" i="1"/>
  <c r="AF17" i="1"/>
  <c r="AC64" i="1"/>
  <c r="V13" i="6"/>
  <c r="U47" i="6"/>
  <c r="U13" i="6"/>
  <c r="W46" i="6"/>
  <c r="V17" i="6"/>
  <c r="W47" i="6"/>
  <c r="V46" i="6"/>
  <c r="U46" i="6"/>
  <c r="V14" i="6"/>
  <c r="U17" i="6"/>
  <c r="U14" i="6"/>
  <c r="V47" i="6"/>
  <c r="D58" i="1"/>
  <c r="X58" i="1" s="1"/>
  <c r="K71" i="1"/>
  <c r="E71" i="1"/>
  <c r="X65" i="1"/>
  <c r="T71" i="1"/>
  <c r="Z64" i="1"/>
  <c r="AG64" i="1"/>
  <c r="I71" i="1"/>
  <c r="AF58" i="1"/>
  <c r="AD56" i="1"/>
  <c r="AE31" i="1"/>
  <c r="AE17" i="1"/>
  <c r="AF64" i="1"/>
  <c r="AE56" i="1"/>
  <c r="AE65" i="1"/>
  <c r="AG31" i="1"/>
  <c r="AG56" i="1"/>
  <c r="AG69" i="1"/>
  <c r="AC71" i="1"/>
  <c r="AA64" i="1"/>
  <c r="Y17" i="1"/>
  <c r="AB17" i="1"/>
  <c r="AD17" i="1"/>
  <c r="AB71" i="1"/>
  <c r="X17" i="1"/>
  <c r="AC58" i="1"/>
  <c r="AC17" i="1"/>
  <c r="Z17" i="1"/>
  <c r="AG58" i="1"/>
  <c r="AG17" i="1"/>
  <c r="AA17" i="1"/>
  <c r="AD71" i="1"/>
  <c r="E12" i="9"/>
  <c r="J12" i="9"/>
  <c r="E11" i="9"/>
  <c r="E18" i="9"/>
  <c r="J11" i="9"/>
  <c r="D11" i="9"/>
  <c r="J16" i="9"/>
  <c r="I11" i="9"/>
  <c r="D18" i="9"/>
  <c r="V18" i="6" l="1"/>
  <c r="V12" i="6"/>
  <c r="U18" i="6"/>
  <c r="V16" i="6"/>
  <c r="U12" i="6"/>
  <c r="AA71" i="1"/>
  <c r="Z58" i="1"/>
  <c r="Z71" i="1"/>
  <c r="V11" i="6"/>
  <c r="U11" i="6"/>
  <c r="X71" i="1"/>
  <c r="Y71" i="1"/>
  <c r="AA58" i="1"/>
  <c r="AB58" i="1"/>
  <c r="AD58" i="1"/>
  <c r="AE58" i="1"/>
  <c r="Y58" i="1"/>
  <c r="AG71" i="1"/>
  <c r="AE71" i="1"/>
</calcChain>
</file>

<file path=xl/sharedStrings.xml><?xml version="1.0" encoding="utf-8"?>
<sst xmlns="http://schemas.openxmlformats.org/spreadsheetml/2006/main" count="491" uniqueCount="177">
  <si>
    <t>PREDMETI</t>
  </si>
  <si>
    <t>Primljeno</t>
  </si>
  <si>
    <t>Riješeno</t>
  </si>
  <si>
    <t>Neriješeno</t>
  </si>
  <si>
    <t>INDIKATORI</t>
  </si>
  <si>
    <t>1. kvartal</t>
  </si>
  <si>
    <t>2. kvartal</t>
  </si>
  <si>
    <t>3. kvartal</t>
  </si>
  <si>
    <t>4. kvartal</t>
  </si>
  <si>
    <t>Riješeno ustupom po čl. 11 Zakona o sudovima</t>
  </si>
  <si>
    <t xml:space="preserve">CR </t>
  </si>
  <si>
    <t>DT</t>
  </si>
  <si>
    <t>Općinski sudovi</t>
  </si>
  <si>
    <t>Predmeti izvanraspravnog vijeća</t>
  </si>
  <si>
    <t>Predmeti optužnog vijeća (KOV)</t>
  </si>
  <si>
    <t>Kazneni I. stupanj</t>
  </si>
  <si>
    <t>Kazneni predmeti ukupno</t>
  </si>
  <si>
    <t>Građanski - parnični predmeti</t>
  </si>
  <si>
    <t>Ovršni predmeti</t>
  </si>
  <si>
    <t>Izvanparnični (R1 predmeti)</t>
  </si>
  <si>
    <t>Ostavinski predmeti</t>
  </si>
  <si>
    <t>R2, Pom, Ovjere</t>
  </si>
  <si>
    <t>Mirenje</t>
  </si>
  <si>
    <t>Zemljišnoknjižni predmeti</t>
  </si>
  <si>
    <t>UKUPNO</t>
  </si>
  <si>
    <t>Županijski sudovi</t>
  </si>
  <si>
    <t>Kazneni II. stupanj</t>
  </si>
  <si>
    <t>Izvanraspravno vijeće</t>
  </si>
  <si>
    <t>Izvršenje kazne zatvora I. stupanj</t>
  </si>
  <si>
    <t>Izvršenje kazne zatvora II. stupanj</t>
  </si>
  <si>
    <t>Optužno vijeće</t>
  </si>
  <si>
    <t>USKOK I.stupanj</t>
  </si>
  <si>
    <t>Ratni zločin</t>
  </si>
  <si>
    <t>Predmeti istražnih radnji</t>
  </si>
  <si>
    <t>Građanski predmeti I. stupanj</t>
  </si>
  <si>
    <t>Građanski predmeti II. stupanj</t>
  </si>
  <si>
    <t>Građanski predmeti ukupno</t>
  </si>
  <si>
    <t>Trgovački sudovi</t>
  </si>
  <si>
    <t>Parnični predmeti</t>
  </si>
  <si>
    <t>Izvanparnični predmeti (R1)</t>
  </si>
  <si>
    <t>Stečajni predmeti</t>
  </si>
  <si>
    <t>Predstečajna nagodba</t>
  </si>
  <si>
    <t>R2, Pom</t>
  </si>
  <si>
    <t>Sudski registar</t>
  </si>
  <si>
    <t>Upravni sudovi</t>
  </si>
  <si>
    <t>Upravni sud u Rijeci</t>
  </si>
  <si>
    <t>Upravni sud u Osijeku</t>
  </si>
  <si>
    <t>Upravni sud u Splitu</t>
  </si>
  <si>
    <t>Upravni sud u Zagrebu</t>
  </si>
  <si>
    <t>Visoki trgovački sud RH</t>
  </si>
  <si>
    <t>Visoki upravni sud RH</t>
  </si>
  <si>
    <t>Vrhovni sud RH</t>
  </si>
  <si>
    <t>Građanski predmeti</t>
  </si>
  <si>
    <t>Kazneni predmeti</t>
  </si>
  <si>
    <t>Prekršajni sudovi</t>
  </si>
  <si>
    <t>Promet</t>
  </si>
  <si>
    <t>Gospodarstvo</t>
  </si>
  <si>
    <t>Javni red i mir i javna sigurnost</t>
  </si>
  <si>
    <t>Prekršajni predmeti I. stupanj</t>
  </si>
  <si>
    <t>čl. 94. - II.stupanj</t>
  </si>
  <si>
    <t>Visoki prekršajni sud RH</t>
  </si>
  <si>
    <t>SVEUKUPNO</t>
  </si>
  <si>
    <t>Criminal</t>
  </si>
  <si>
    <t>Civil</t>
  </si>
  <si>
    <t>Administrative</t>
  </si>
  <si>
    <t>Enforcement</t>
  </si>
  <si>
    <t>Commercial</t>
  </si>
  <si>
    <t>Misdemeanour</t>
  </si>
  <si>
    <t>ZK</t>
  </si>
  <si>
    <t xml:space="preserve"> </t>
  </si>
  <si>
    <t>TOTAL</t>
  </si>
  <si>
    <t>Kategorije predmeta</t>
  </si>
  <si>
    <t>Kategorije predmeta - prema CEPEJ</t>
  </si>
  <si>
    <t>Kazneni ukupno</t>
  </si>
  <si>
    <t>Kazneni predmeti prvog stupnja</t>
  </si>
  <si>
    <t>USKOK (I. stupanj)</t>
  </si>
  <si>
    <t>USKOK (I.stupanj)</t>
  </si>
  <si>
    <t>Ukupno upravni predmeti</t>
  </si>
  <si>
    <t>Prekršajni predmeti I. stupnja</t>
  </si>
  <si>
    <t>Ukupno prekršajni predmeti</t>
  </si>
  <si>
    <t>iz čl. 94. (II.stupanj)</t>
  </si>
  <si>
    <t>Commercial (2nd instance)</t>
  </si>
  <si>
    <t>Ukupno VTS</t>
  </si>
  <si>
    <t>Administrative (2nd instance)</t>
  </si>
  <si>
    <t>Ukupno VUS</t>
  </si>
  <si>
    <t>Misdemeanour (2nd instance)</t>
  </si>
  <si>
    <t>Ukupno VPS</t>
  </si>
  <si>
    <t>Građanski</t>
  </si>
  <si>
    <t>Kazneni</t>
  </si>
  <si>
    <t>Ukupno VSRH</t>
  </si>
  <si>
    <t>Osnovne grupe predmeta na svim sudovima</t>
  </si>
  <si>
    <t>Total</t>
  </si>
  <si>
    <r>
      <rPr>
        <b/>
        <u/>
        <sz val="9"/>
        <rFont val="Arial"/>
        <family val="2"/>
        <charset val="238"/>
      </rPr>
      <t>Napomena</t>
    </r>
    <r>
      <rPr>
        <sz val="9"/>
        <rFont val="Arial"/>
        <family val="2"/>
        <charset val="238"/>
      </rPr>
      <t xml:space="preserve">
u ovoj tabeli su izuzete sljedeće vrste predmeta:</t>
    </r>
  </si>
  <si>
    <t>Izvori podataka</t>
  </si>
  <si>
    <t>Općinski (osim ZK predmeta), trgovački (osim predmeta sudskog registra), županijski sudovi i Visoki trgovački sud RH: eSpis; Cognos izvještajni sustav</t>
  </si>
  <si>
    <t>Predmeti sudskog registra: trgovački sudovi</t>
  </si>
  <si>
    <t>Upravni predmeti: 4 prvostupanjska suda i Visoki upravni sud</t>
  </si>
  <si>
    <t>Prekršajni predmeti: JCMS sustav prekršajnih sudova, Visoki prekršajni za predmete 2. stupnja</t>
  </si>
  <si>
    <t>Napomena:</t>
  </si>
  <si>
    <t>Indikatori uspješnosti</t>
  </si>
  <si>
    <t>Clearance rate (CR) ili stopa rješavanja, predstavlja omjer riješenih i primljenih predmeta u promatranom periodu (100% pokazuje da sud riješava predmeta koliko je i primio, iznad 100% da se broj neriješnih predmeta smanjuje), odnosno kako sud uspijeva riješiti priljev predmeta.</t>
  </si>
  <si>
    <t xml:space="preserve">Disposition time (DT) ili pokazatelj vremena rješavanja, predstavlja omjer promatranog perioda (365 dana) i Case Turnover Ratio (CTR ili protok predmeta – omjer riješenih i neriješenih predmeta). Vrijednost je izražena u danima i pokazuje koliko dana traje rješavanje određene vrste predmeta (procijenjena duljina postupka). Ovaj indikator pruža bolji uvid u to kako sud upravlja protokom predmeta, tj. kako rješava priljev novih predmeta. </t>
  </si>
  <si>
    <r>
      <t xml:space="preserve"> - u koloni "Riješeno ustupom po čl.11. Zakona o sudovima" prikazani su predmeti koji zadovoljavaju uvjete iz čl. 11. Zakona o sudovima (</t>
    </r>
    <r>
      <rPr>
        <i/>
        <u/>
        <sz val="10"/>
        <color theme="3" tint="0.39997558519241921"/>
        <rFont val="Arial"/>
        <family val="2"/>
        <charset val="238"/>
      </rPr>
      <t>http://narodne-novine.nn.hr/default.aspx</t>
    </r>
    <r>
      <rPr>
        <i/>
        <sz val="10"/>
        <rFont val="Arial"/>
        <family val="2"/>
        <charset val="238"/>
      </rPr>
      <t>)</t>
    </r>
  </si>
  <si>
    <t>Kazneni (Criminal)</t>
  </si>
  <si>
    <t>Građanski (Civil)</t>
  </si>
  <si>
    <t>Upravni (Administrative)</t>
  </si>
  <si>
    <t>Ovršni (Enforcement)</t>
  </si>
  <si>
    <t>Trgovački (Commercial)</t>
  </si>
  <si>
    <t>Prekršajni (Misdemeanour)</t>
  </si>
  <si>
    <t>Zemljišnoknjižni (Land Registry)</t>
  </si>
  <si>
    <t>Clearance Rate (stopa rješavanja u %)</t>
  </si>
  <si>
    <t>Calculations</t>
  </si>
  <si>
    <t>This Quarter</t>
  </si>
  <si>
    <t>Previous Quarters</t>
  </si>
  <si>
    <t>Qtr Number</t>
  </si>
  <si>
    <t>Year</t>
  </si>
  <si>
    <t>Axis Title</t>
  </si>
  <si>
    <t>Range Name</t>
  </si>
  <si>
    <t>Sheet name</t>
  </si>
  <si>
    <t>Option Value</t>
  </si>
  <si>
    <t>Quarters</t>
  </si>
  <si>
    <t>View Options</t>
  </si>
  <si>
    <t>Data View Value</t>
  </si>
  <si>
    <t>Option Name</t>
  </si>
  <si>
    <t>Data View Name</t>
  </si>
  <si>
    <t>Selected Quarter</t>
  </si>
  <si>
    <t>Level 0 Data</t>
  </si>
  <si>
    <t>Level 1 Data</t>
  </si>
  <si>
    <t>Kretanje predmeta na općinskim sudovima</t>
  </si>
  <si>
    <t>Kretanje predmeta na županijskim sudovima</t>
  </si>
  <si>
    <t>Predmeti</t>
  </si>
  <si>
    <t>Kretanje predmeta na trgovačkim sudovima</t>
  </si>
  <si>
    <t>Kretanje predmeta na upravnim sudovima</t>
  </si>
  <si>
    <t>Kretanje predmeta na Visokom trgovačkom sudu RH</t>
  </si>
  <si>
    <t>Kretanje predmeta na Visokom upravnom sudu RH</t>
  </si>
  <si>
    <t>Kretanje predmeta na Vrhovnom sudu RH</t>
  </si>
  <si>
    <t>Kretanje predmeta na prekršajnim sudovima</t>
  </si>
  <si>
    <t>Kretanje predmeta na Visokom prekršajnom sudu RH</t>
  </si>
  <si>
    <t>Kretanje građanskih predmeta na sudovima (kategorija prema CEPEJ)(Civil)</t>
  </si>
  <si>
    <t>Kretanje kaznenih predmeta na sudovima (kategorija prema CEPEJ)(Criminal)</t>
  </si>
  <si>
    <t>Kretanje upravnih predmeta na sudovima (kategorija prema CEPEJ)(Administrative)</t>
  </si>
  <si>
    <t>Kretanje ovršnih predmeta na sudovima (kategorija prema CEPEJ)(Enforcement)</t>
  </si>
  <si>
    <t>Kretanje trgovačkih predmeta na sudovima (kategorija prema CEPEJ)(Commercial)</t>
  </si>
  <si>
    <t>Kretanje prekršajnih predmeta na sudovima (kategorija prema CEPEJ)(Misdemeanour)</t>
  </si>
  <si>
    <t>Kretanje zemljišnoknjižnih predmeta na sudovima (kategorija prema CEPEJ)(Land Registry)</t>
  </si>
  <si>
    <t>Level 1 Data Picker Value</t>
  </si>
  <si>
    <t>Active Level 1 Data Picker Value</t>
  </si>
  <si>
    <t>Level 0 Options</t>
  </si>
  <si>
    <t>Level 1 Picker Title</t>
  </si>
  <si>
    <t>Level 1 Picker Title Value</t>
  </si>
  <si>
    <r>
      <t xml:space="preserve">Indikatori   po   Cepej-u   (CEPEJ   je   skraćenica  od  francuskog  naziva  Europske  komisije  za  efikasnost   pravosuđa Commission  européenne  pour  l'efficacité  de la justice. Predstavlja jedinstveno tijelo svih europskih država,  koje je zaduženo za ocjenjivanje efikasnosti sistema pravosuđa. Na osnovu indikatora mogu se izvući preliminarni zaključci o radu suda.  Više podataka na web stranici: </t>
    </r>
    <r>
      <rPr>
        <u/>
        <sz val="10"/>
        <color theme="3" tint="0.39997558519241921"/>
        <rFont val="Arial"/>
        <family val="2"/>
        <charset val="238"/>
      </rPr>
      <t>www.coe.int/CEPEJ</t>
    </r>
    <r>
      <rPr>
        <sz val="10"/>
        <color theme="1"/>
        <rFont val="Arial"/>
        <family val="2"/>
        <charset val="238"/>
      </rPr>
      <t xml:space="preserve">.  </t>
    </r>
  </si>
  <si>
    <t>Kretanje predmeta na sudovima s indikatorima uspješnosti</t>
  </si>
  <si>
    <t>Kretanje predmeta na sudovima s indikatorima uspješnosti - kategorije prema CEPEJ</t>
  </si>
  <si>
    <t>Grupiranje predmeta po vrstama</t>
  </si>
  <si>
    <t>Odaberi kvartal</t>
  </si>
  <si>
    <t>Odaberi pregled</t>
  </si>
  <si>
    <t>Razina 0 grafovi
(Indikatori)</t>
  </si>
  <si>
    <t>Razina 1 grafovi
(Trend)</t>
  </si>
  <si>
    <t>(Eu) CEPEJ Indikatori</t>
  </si>
  <si>
    <t>Nacionalni indikatori</t>
  </si>
  <si>
    <t>Odaberi vrstu suda</t>
  </si>
  <si>
    <t>Odaberi kategoriju predmeta (CEPEJ)</t>
  </si>
  <si>
    <t>Posljednji kvartal</t>
  </si>
  <si>
    <t>Naslov grafa</t>
  </si>
  <si>
    <t>Serija 1</t>
  </si>
  <si>
    <t>Serija 2</t>
  </si>
  <si>
    <t>Serija 3</t>
  </si>
  <si>
    <t>Vrsta suda</t>
  </si>
  <si>
    <t>Kategorija predmeta (CEPEJ)</t>
  </si>
  <si>
    <t>Y Os naslov</t>
  </si>
  <si>
    <t>Stečaj potrošača</t>
  </si>
  <si>
    <t>* u CEPEJ kategorije predmeta se ne ubraja istraga i izvršenje</t>
  </si>
  <si>
    <t>* u CEPEJ kategorije predmeta se ne ubraja sudski registar</t>
  </si>
  <si>
    <t xml:space="preserve">Vrhovni sud RH: Vrhovni sud RH </t>
  </si>
  <si>
    <t>Disposition Time (vrijeme rješavanja u danima)</t>
  </si>
  <si>
    <t>Zemljišnoknjižni predmeti: Služba za zemljišnoknjižno pravo Ministarstvo pravosuđa, općinski sudovi</t>
  </si>
  <si>
    <t>Datum objave izvješća: 23.01.2017.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</si>
</sst>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0.00&quot; $&quot;;[Red]\-#,##0.00&quot; $&quot;"/>
    <numFmt numFmtId="166" formatCode="_(* #,##0.00_);_(* \(#,##0.00\);_(* &quot;-&quot;??_);_(@_)"/>
    <numFmt numFmtId="167" formatCode="_-* #,##0_-;\-* #,##0_-;_-* &quot;-&quot;_-;_-@_-"/>
    <numFmt numFmtId="168" formatCode="_-* #,##0.00_-;\-* #,##0.00_-;_-* &quot;-&quot;??_-;_-@_-"/>
    <numFmt numFmtId="169" formatCode="&quot; $&quot;* #,##0.00_ ;"/>
    <numFmt numFmtId="170" formatCode="_-* #,##0.00\ _F_-;\-* #,##0.00\ _F_-;_-* &quot;-&quot;??\ _F_-;_-@_-"/>
    <numFmt numFmtId="171" formatCode="[&gt;1]\ &quot;Pk of &quot;\ #;[=1]\ &quot;Each&quot;;\ 0.000\ &quot; km&quot;"/>
    <numFmt numFmtId="172" formatCode="0.00_)"/>
    <numFmt numFmtId="173" formatCode="_-&quot;$&quot;* #,##0_-;\-&quot;$&quot;* #,##0_-;_-&quot;$&quot;* &quot;-&quot;_-;_-@_-"/>
    <numFmt numFmtId="174" formatCode="_-&quot;£&quot;* #,##0_-;\-&quot;£&quot;* #,##0_-;_-&quot;£&quot;* &quot;-&quot;_-;_-@_-"/>
    <numFmt numFmtId="175" formatCode="_-&quot;£&quot;* #,##0.00_-;\-&quot;£&quot;* #,##0.00_-;_-&quot;£&quot;* &quot;-&quot;??_-;_-@_-"/>
    <numFmt numFmtId="176" formatCode="_-* #,##0.00_р_._-;\-* #,##0.00_р_._-;_-* &quot;-&quot;??_р_._-;_-@_-"/>
  </numFmts>
  <fonts count="37">
    <font>
      <sz val="10"/>
      <name val="Arial"/>
      <family val="2"/>
      <charset val="238"/>
    </font>
    <font>
      <sz val="11"/>
      <color theme="1"/>
      <name val="Calibri"/>
      <family val="2"/>
      <charset val="238"/>
      <scheme val="minor"/>
    </font>
    <font>
      <sz val="10"/>
      <name val="Arial"/>
      <family val="2"/>
      <charset val="238"/>
    </font>
    <font>
      <b/>
      <sz val="10"/>
      <color theme="0"/>
      <name val="Arial"/>
      <family val="2"/>
      <charset val="238"/>
    </font>
    <font>
      <b/>
      <sz val="10"/>
      <name val="Arial"/>
      <family val="2"/>
      <charset val="238"/>
    </font>
    <font>
      <sz val="10"/>
      <color theme="1"/>
      <name val="Arial"/>
      <family val="2"/>
      <charset val="238"/>
    </font>
    <font>
      <b/>
      <sz val="10"/>
      <color theme="1"/>
      <name val="Arial"/>
      <family val="2"/>
      <charset val="238"/>
    </font>
    <font>
      <sz val="10"/>
      <color theme="0"/>
      <name val="Arial"/>
      <family val="2"/>
      <charset val="238"/>
    </font>
    <font>
      <sz val="10"/>
      <name val="Arial"/>
      <family val="2"/>
    </font>
    <font>
      <sz val="11"/>
      <color theme="1"/>
      <name val="Calibri"/>
      <family val="2"/>
      <scheme val="minor"/>
    </font>
    <font>
      <sz val="11"/>
      <color indexed="8"/>
      <name val="Calibri"/>
      <family val="2"/>
    </font>
    <font>
      <sz val="12"/>
      <name val="Arial"/>
      <family val="2"/>
    </font>
    <font>
      <sz val="8"/>
      <name val="Arial"/>
      <family val="2"/>
    </font>
    <font>
      <b/>
      <sz val="12"/>
      <name val="Arial"/>
      <family val="2"/>
    </font>
    <font>
      <sz val="10"/>
      <name val="Times New Roman"/>
      <family val="1"/>
    </font>
    <font>
      <b/>
      <i/>
      <sz val="16"/>
      <name val="Helv"/>
    </font>
    <font>
      <sz val="10"/>
      <name val="Courier"/>
      <family val="3"/>
    </font>
    <font>
      <sz val="10"/>
      <color theme="1"/>
      <name val="Tahoma"/>
      <family val="2"/>
    </font>
    <font>
      <sz val="11"/>
      <color indexed="8"/>
      <name val="Calibri"/>
      <family val="2"/>
      <charset val="238"/>
    </font>
    <font>
      <b/>
      <sz val="12"/>
      <name val="Albertus Medium"/>
      <family val="2"/>
    </font>
    <font>
      <b/>
      <sz val="10"/>
      <name val="Times New Roman"/>
      <family val="1"/>
    </font>
    <font>
      <sz val="9"/>
      <name val="Arial"/>
      <family val="2"/>
      <charset val="238"/>
    </font>
    <font>
      <b/>
      <u/>
      <sz val="9"/>
      <name val="Arial"/>
      <family val="2"/>
      <charset val="238"/>
    </font>
    <font>
      <b/>
      <i/>
      <sz val="10"/>
      <name val="Arial"/>
      <family val="2"/>
      <charset val="238"/>
    </font>
    <font>
      <i/>
      <sz val="10"/>
      <name val="Arial"/>
      <family val="2"/>
      <charset val="238"/>
    </font>
    <font>
      <b/>
      <i/>
      <u/>
      <sz val="10"/>
      <name val="Arial"/>
      <family val="2"/>
      <charset val="238"/>
    </font>
    <font>
      <i/>
      <u/>
      <sz val="10"/>
      <color theme="3" tint="0.39997558519241921"/>
      <name val="Arial"/>
      <family val="2"/>
      <charset val="238"/>
    </font>
    <font>
      <u/>
      <sz val="10"/>
      <color theme="3" tint="0.39997558519241921"/>
      <name val="Arial"/>
      <family val="2"/>
      <charset val="238"/>
    </font>
    <font>
      <i/>
      <sz val="8"/>
      <color theme="1"/>
      <name val="Arial"/>
      <family val="2"/>
      <charset val="238"/>
    </font>
    <font>
      <b/>
      <sz val="12"/>
      <name val="Arial"/>
      <family val="2"/>
      <charset val="238"/>
    </font>
    <font>
      <sz val="10"/>
      <color theme="1" tint="0.34998626667073579"/>
      <name val="Arial"/>
      <family val="2"/>
      <charset val="238"/>
    </font>
    <font>
      <sz val="10"/>
      <color theme="0" tint="-0.499984740745262"/>
      <name val="Arial"/>
      <family val="2"/>
      <charset val="238"/>
    </font>
    <font>
      <sz val="8"/>
      <name val="Arial"/>
      <family val="2"/>
      <charset val="238"/>
    </font>
    <font>
      <sz val="8"/>
      <color theme="0" tint="-0.499984740745262"/>
      <name val="Arial"/>
      <family val="2"/>
      <charset val="238"/>
    </font>
    <font>
      <sz val="8"/>
      <color theme="1" tint="0.34998626667073579"/>
      <name val="Arial"/>
      <family val="2"/>
      <charset val="238"/>
    </font>
    <font>
      <sz val="10"/>
      <color rgb="FF003300"/>
      <name val="Arial"/>
      <family val="2"/>
      <charset val="238"/>
    </font>
    <font>
      <b/>
      <sz val="16"/>
      <name val="Arial"/>
      <family val="2"/>
      <charset val="238"/>
    </font>
  </fonts>
  <fills count="22">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AD6E8"/>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26"/>
        <bgColor indexed="64"/>
      </patternFill>
    </fill>
    <fill>
      <patternFill patternType="solid">
        <fgColor indexed="58"/>
        <bgColor indexed="64"/>
      </patternFill>
    </fill>
    <fill>
      <patternFill patternType="solid">
        <fgColor rgb="FFE0E0E0"/>
        <bgColor indexed="64"/>
      </patternFill>
    </fill>
    <fill>
      <patternFill patternType="solid">
        <fgColor rgb="FFCCDAEA"/>
        <bgColor indexed="64"/>
      </patternFill>
    </fill>
    <fill>
      <patternFill patternType="solid">
        <fgColor rgb="FFA1BBDB"/>
        <bgColor indexed="64"/>
      </patternFill>
    </fill>
    <fill>
      <patternFill patternType="lightGray"/>
    </fill>
    <fill>
      <patternFill patternType="solid">
        <fgColor theme="3" tint="0.59999389629810485"/>
        <bgColor indexed="64"/>
      </patternFill>
    </fill>
    <fill>
      <patternFill patternType="solid">
        <fgColor indexed="65"/>
        <bgColor indexed="64"/>
      </patternFill>
    </fill>
    <fill>
      <patternFill patternType="solid">
        <fgColor rgb="FFFF5050"/>
        <bgColor indexed="64"/>
      </patternFill>
    </fill>
    <fill>
      <patternFill patternType="solid">
        <fgColor rgb="FFCCFFCC"/>
        <bgColor indexed="64"/>
      </patternFill>
    </fill>
    <fill>
      <patternFill patternType="lightGray">
        <fgColor rgb="FF008000"/>
        <bgColor theme="0" tint="-0.14996795556505021"/>
      </patternFill>
    </fill>
    <fill>
      <patternFill patternType="lightGray">
        <fgColor rgb="FF008000"/>
        <bgColor theme="0" tint="-0.14999847407452621"/>
      </patternFill>
    </fill>
  </fills>
  <borders count="42">
    <border>
      <left/>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0" tint="-0.34998626667073579"/>
      </left>
      <right/>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ck">
        <color rgb="FF008000"/>
      </left>
      <right style="thin">
        <color indexed="64"/>
      </right>
      <top style="thick">
        <color rgb="FF008000"/>
      </top>
      <bottom style="thin">
        <color indexed="64"/>
      </bottom>
      <diagonal/>
    </border>
    <border>
      <left style="thin">
        <color indexed="64"/>
      </left>
      <right style="thin">
        <color indexed="64"/>
      </right>
      <top style="thick">
        <color rgb="FF008000"/>
      </top>
      <bottom style="thin">
        <color indexed="64"/>
      </bottom>
      <diagonal/>
    </border>
    <border>
      <left style="thin">
        <color indexed="64"/>
      </left>
      <right style="thick">
        <color rgb="FF008000"/>
      </right>
      <top style="thick">
        <color rgb="FF008000"/>
      </top>
      <bottom style="thin">
        <color indexed="64"/>
      </bottom>
      <diagonal/>
    </border>
    <border>
      <left style="thick">
        <color rgb="FF008000"/>
      </left>
      <right style="thin">
        <color indexed="64"/>
      </right>
      <top style="thin">
        <color indexed="64"/>
      </top>
      <bottom style="thin">
        <color indexed="64"/>
      </bottom>
      <diagonal/>
    </border>
    <border>
      <left style="thin">
        <color indexed="64"/>
      </left>
      <right style="thick">
        <color rgb="FF008000"/>
      </right>
      <top style="thin">
        <color indexed="64"/>
      </top>
      <bottom style="thin">
        <color indexed="64"/>
      </bottom>
      <diagonal/>
    </border>
    <border>
      <left style="thick">
        <color rgb="FF008000"/>
      </left>
      <right style="thin">
        <color indexed="64"/>
      </right>
      <top style="thin">
        <color indexed="64"/>
      </top>
      <bottom style="thick">
        <color rgb="FF008000"/>
      </bottom>
      <diagonal/>
    </border>
    <border>
      <left style="thin">
        <color indexed="64"/>
      </left>
      <right style="thin">
        <color indexed="64"/>
      </right>
      <top style="thin">
        <color indexed="64"/>
      </top>
      <bottom style="thick">
        <color rgb="FF008000"/>
      </bottom>
      <diagonal/>
    </border>
    <border>
      <left style="thin">
        <color indexed="64"/>
      </left>
      <right style="thick">
        <color rgb="FF008000"/>
      </right>
      <top style="thin">
        <color indexed="64"/>
      </top>
      <bottom style="thick">
        <color rgb="FF008000"/>
      </bottom>
      <diagonal/>
    </border>
    <border>
      <left style="thick">
        <color rgb="FF008000"/>
      </left>
      <right/>
      <top/>
      <bottom/>
      <diagonal/>
    </border>
    <border>
      <left style="thick">
        <color rgb="FF008000"/>
      </left>
      <right/>
      <top/>
      <bottom style="thin">
        <color indexed="64"/>
      </bottom>
      <diagonal/>
    </border>
  </borders>
  <cellStyleXfs count="78">
    <xf numFmtId="0" fontId="0" fillId="0" borderId="0"/>
    <xf numFmtId="165" fontId="8" fillId="0" borderId="0" applyFill="0" applyBorder="0" applyAlignment="0"/>
    <xf numFmtId="165" fontId="8" fillId="0" borderId="0" applyFill="0" applyBorder="0" applyAlignment="0"/>
    <xf numFmtId="165" fontId="8" fillId="0" borderId="0" applyFill="0" applyBorder="0" applyAlignment="0"/>
    <xf numFmtId="165" fontId="8" fillId="0" borderId="0" applyFill="0" applyBorder="0" applyAlignment="0"/>
    <xf numFmtId="165" fontId="8" fillId="0" borderId="0" applyFill="0" applyBorder="0" applyAlignment="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9"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9" fontId="11" fillId="0" borderId="0" applyFont="0" applyFill="0" applyBorder="0" applyAlignment="0" applyProtection="0"/>
    <xf numFmtId="38" fontId="12" fillId="9" borderId="0" applyNumberFormat="0" applyBorder="0" applyAlignment="0" applyProtection="0"/>
    <xf numFmtId="0" fontId="13" fillId="0" borderId="15" applyNumberFormat="0" applyAlignment="0" applyProtection="0">
      <alignment horizontal="left" vertical="center"/>
    </xf>
    <xf numFmtId="0" fontId="13" fillId="0" borderId="16">
      <alignment horizontal="left" vertical="center"/>
    </xf>
    <xf numFmtId="10" fontId="12" fillId="10" borderId="17" applyNumberFormat="0" applyBorder="0" applyAlignment="0" applyProtection="0"/>
    <xf numFmtId="170" fontId="8" fillId="0" borderId="0" applyFont="0" applyFill="0" applyBorder="0" applyAlignment="0" applyProtection="0"/>
    <xf numFmtId="171" fontId="14" fillId="0" borderId="0" applyFill="0" applyBorder="0">
      <alignment horizontal="center" vertical="top"/>
    </xf>
    <xf numFmtId="172" fontId="15" fillId="0" borderId="0"/>
    <xf numFmtId="0" fontId="8" fillId="0" borderId="0"/>
    <xf numFmtId="0" fontId="2" fillId="0" borderId="0"/>
    <xf numFmtId="0" fontId="1" fillId="0" borderId="0"/>
    <xf numFmtId="0" fontId="1" fillId="0" borderId="0"/>
    <xf numFmtId="0" fontId="2" fillId="0" borderId="0"/>
    <xf numFmtId="0" fontId="8" fillId="0" borderId="0"/>
    <xf numFmtId="0" fontId="8" fillId="0" borderId="0"/>
    <xf numFmtId="0" fontId="8" fillId="0" borderId="0"/>
    <xf numFmtId="0" fontId="8" fillId="0" borderId="0"/>
    <xf numFmtId="0" fontId="8" fillId="0" borderId="0"/>
    <xf numFmtId="0" fontId="1" fillId="0" borderId="0"/>
    <xf numFmtId="0" fontId="9" fillId="0" borderId="0"/>
    <xf numFmtId="0" fontId="2" fillId="0" borderId="0" applyNumberFormat="0" applyFont="0" applyFill="0" applyBorder="0" applyAlignment="0" applyProtection="0"/>
    <xf numFmtId="172" fontId="16" fillId="0" borderId="0"/>
    <xf numFmtId="0" fontId="17"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2" fillId="0" borderId="0"/>
    <xf numFmtId="0" fontId="17" fillId="0" borderId="0"/>
    <xf numFmtId="0" fontId="1" fillId="0" borderId="0"/>
    <xf numFmtId="0" fontId="1" fillId="0" borderId="0"/>
    <xf numFmtId="0" fontId="18" fillId="0" borderId="0"/>
    <xf numFmtId="0" fontId="2" fillId="0" borderId="0"/>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0" fontId="8" fillId="11" borderId="0"/>
    <xf numFmtId="0" fontId="19" fillId="0" borderId="0">
      <alignment horizontal="left" vertical="center"/>
    </xf>
    <xf numFmtId="0" fontId="20" fillId="0" borderId="0" applyNumberFormat="0" applyFill="0" applyBorder="0" applyProtection="0">
      <alignment vertical="center"/>
    </xf>
    <xf numFmtId="167" fontId="8" fillId="0" borderId="0" applyFont="0" applyFill="0" applyBorder="0" applyAlignment="0" applyProtection="0"/>
    <xf numFmtId="168" fontId="8" fillId="0" borderId="0" applyFont="0" applyFill="0" applyBorder="0" applyAlignment="0" applyProtection="0"/>
    <xf numFmtId="173"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0" fontId="8" fillId="0" borderId="0"/>
    <xf numFmtId="176" fontId="8" fillId="0" borderId="0" applyFont="0" applyFill="0" applyBorder="0" applyAlignment="0" applyProtection="0"/>
    <xf numFmtId="0" fontId="2" fillId="0" borderId="0"/>
    <xf numFmtId="0" fontId="1" fillId="0" borderId="0"/>
  </cellStyleXfs>
  <cellXfs count="305">
    <xf numFmtId="0" fontId="0" fillId="0" borderId="0" xfId="0"/>
    <xf numFmtId="0" fontId="2" fillId="8" borderId="11" xfId="0" applyFont="1" applyFill="1" applyBorder="1" applyAlignment="1">
      <alignment horizontal="center" vertical="center" wrapText="1"/>
    </xf>
    <xf numFmtId="0" fontId="2" fillId="0" borderId="0" xfId="31"/>
    <xf numFmtId="0" fontId="2" fillId="0" borderId="0" xfId="31" applyBorder="1"/>
    <xf numFmtId="0" fontId="2" fillId="0" borderId="0" xfId="31" applyFill="1"/>
    <xf numFmtId="0" fontId="4" fillId="0" borderId="0" xfId="31" applyFont="1" applyFill="1"/>
    <xf numFmtId="0" fontId="4" fillId="0" borderId="0" xfId="31" applyFont="1"/>
    <xf numFmtId="0" fontId="4" fillId="0" borderId="0" xfId="31" applyFont="1" applyFill="1" applyBorder="1" applyAlignment="1">
      <alignment horizontal="center" vertical="center" wrapText="1"/>
    </xf>
    <xf numFmtId="0" fontId="2" fillId="8" borderId="11" xfId="0" applyFont="1" applyFill="1" applyBorder="1" applyAlignment="1">
      <alignment horizontal="left" vertical="center" wrapText="1"/>
    </xf>
    <xf numFmtId="0" fontId="2" fillId="0" borderId="0" xfId="31" applyFont="1" applyFill="1" applyBorder="1" applyAlignment="1">
      <alignment vertical="center"/>
    </xf>
    <xf numFmtId="0" fontId="2" fillId="8" borderId="1" xfId="31" applyFont="1" applyFill="1" applyBorder="1" applyAlignment="1">
      <alignment horizontal="center" vertical="center" wrapText="1"/>
    </xf>
    <xf numFmtId="0" fontId="2" fillId="4" borderId="12" xfId="31" applyFont="1" applyFill="1" applyBorder="1" applyAlignment="1">
      <alignment vertical="center" wrapText="1"/>
    </xf>
    <xf numFmtId="0" fontId="2" fillId="8" borderId="11" xfId="31" applyFont="1" applyFill="1" applyBorder="1" applyAlignment="1">
      <alignment horizontal="left" vertical="center" wrapText="1"/>
    </xf>
    <xf numFmtId="0" fontId="2" fillId="4" borderId="11" xfId="0" applyFont="1" applyFill="1" applyBorder="1" applyAlignment="1">
      <alignment horizontal="left" vertical="center" wrapText="1"/>
    </xf>
    <xf numFmtId="0" fontId="4" fillId="0" borderId="0" xfId="31" applyFont="1" applyFill="1" applyBorder="1" applyAlignment="1">
      <alignment vertical="center"/>
    </xf>
    <xf numFmtId="0" fontId="2" fillId="8" borderId="9" xfId="31" applyFont="1" applyFill="1" applyBorder="1" applyAlignment="1">
      <alignment horizontal="center" vertical="center" wrapText="1"/>
    </xf>
    <xf numFmtId="0" fontId="2" fillId="0" borderId="0" xfId="31" applyFont="1" applyFill="1" applyBorder="1" applyAlignment="1">
      <alignment horizontal="center" vertical="center" wrapText="1"/>
    </xf>
    <xf numFmtId="0" fontId="2" fillId="0" borderId="0" xfId="31" applyFont="1" applyFill="1" applyBorder="1" applyAlignment="1">
      <alignment horizontal="left" vertical="center" wrapText="1"/>
    </xf>
    <xf numFmtId="0" fontId="4" fillId="0" borderId="0" xfId="31" applyFont="1" applyFill="1" applyBorder="1" applyAlignment="1">
      <alignment horizontal="center" vertical="center"/>
    </xf>
    <xf numFmtId="0" fontId="4" fillId="0" borderId="0" xfId="31" applyFont="1" applyBorder="1" applyAlignment="1">
      <alignment horizontal="center" vertical="center" wrapText="1"/>
    </xf>
    <xf numFmtId="0" fontId="2" fillId="0" borderId="0" xfId="31" applyFill="1" applyBorder="1"/>
    <xf numFmtId="0" fontId="4" fillId="0" borderId="0" xfId="31" applyFont="1" applyFill="1" applyBorder="1" applyAlignment="1">
      <alignment vertical="center" wrapText="1"/>
    </xf>
    <xf numFmtId="0" fontId="2" fillId="0" borderId="0" xfId="31" applyFont="1"/>
    <xf numFmtId="0" fontId="2" fillId="0" borderId="0" xfId="31" applyFont="1" applyFill="1"/>
    <xf numFmtId="0" fontId="2" fillId="5" borderId="3" xfId="0" applyFont="1" applyFill="1" applyBorder="1" applyAlignment="1">
      <alignment vertical="center" wrapText="1"/>
    </xf>
    <xf numFmtId="0" fontId="2" fillId="8" borderId="11" xfId="31" applyFont="1" applyFill="1" applyBorder="1" applyAlignment="1">
      <alignment horizontal="center" vertical="center" wrapText="1"/>
    </xf>
    <xf numFmtId="3" fontId="2" fillId="13" borderId="11" xfId="0" applyNumberFormat="1" applyFont="1" applyFill="1" applyBorder="1" applyAlignment="1">
      <alignment vertical="center"/>
    </xf>
    <xf numFmtId="0" fontId="2" fillId="14" borderId="11" xfId="0" applyFont="1" applyFill="1" applyBorder="1" applyAlignment="1">
      <alignment horizontal="left" vertical="center" wrapText="1"/>
    </xf>
    <xf numFmtId="0" fontId="23" fillId="0" borderId="0" xfId="76" applyFont="1"/>
    <xf numFmtId="0" fontId="1" fillId="0" borderId="0" xfId="77"/>
    <xf numFmtId="0" fontId="24" fillId="0" borderId="0" xfId="76" applyFont="1" applyFill="1" applyAlignment="1">
      <alignment horizontal="left" vertical="center" wrapText="1"/>
    </xf>
    <xf numFmtId="0" fontId="0" fillId="0" borderId="0" xfId="0" applyBorder="1"/>
    <xf numFmtId="0" fontId="3" fillId="2" borderId="17" xfId="0" applyFont="1" applyFill="1" applyBorder="1" applyAlignment="1">
      <alignment horizontal="left" vertical="top"/>
    </xf>
    <xf numFmtId="164" fontId="0" fillId="0" borderId="17" xfId="0" applyNumberFormat="1" applyBorder="1"/>
    <xf numFmtId="1" fontId="0" fillId="0" borderId="17" xfId="0" applyNumberFormat="1" applyBorder="1"/>
    <xf numFmtId="0" fontId="0" fillId="0" borderId="0" xfId="0" applyFill="1" applyBorder="1"/>
    <xf numFmtId="0" fontId="0" fillId="0" borderId="0" xfId="0" applyFill="1"/>
    <xf numFmtId="1" fontId="0" fillId="0" borderId="0" xfId="0" applyNumberFormat="1" applyBorder="1"/>
    <xf numFmtId="0" fontId="0" fillId="0" borderId="0" xfId="0" applyAlignment="1">
      <alignment horizontal="center" vertical="center"/>
    </xf>
    <xf numFmtId="0" fontId="0" fillId="0" borderId="0" xfId="0" applyAlignment="1">
      <alignment horizontal="left" vertical="center"/>
    </xf>
    <xf numFmtId="0" fontId="0" fillId="0" borderId="17" xfId="0" applyBorder="1" applyAlignment="1">
      <alignment horizontal="center" vertical="center"/>
    </xf>
    <xf numFmtId="0" fontId="0" fillId="0" borderId="17" xfId="0" applyBorder="1" applyAlignment="1">
      <alignment horizontal="right" vertical="center"/>
    </xf>
    <xf numFmtId="0" fontId="0" fillId="0" borderId="17" xfId="0" applyNumberFormat="1" applyBorder="1" applyAlignment="1">
      <alignment horizontal="right" vertical="center"/>
    </xf>
    <xf numFmtId="0" fontId="31" fillId="0" borderId="17" xfId="0" applyFont="1" applyBorder="1" applyAlignment="1">
      <alignment horizontal="right" vertical="center"/>
    </xf>
    <xf numFmtId="0" fontId="31" fillId="0" borderId="17" xfId="0" applyFont="1" applyBorder="1" applyAlignment="1">
      <alignment horizontal="left" vertical="center"/>
    </xf>
    <xf numFmtId="164" fontId="0" fillId="0" borderId="0" xfId="0" applyNumberFormat="1" applyFont="1" applyFill="1" applyBorder="1" applyAlignment="1">
      <alignment horizontal="right" vertical="center"/>
    </xf>
    <xf numFmtId="1" fontId="0" fillId="0" borderId="0" xfId="0" applyNumberFormat="1" applyFont="1" applyFill="1" applyBorder="1" applyAlignment="1">
      <alignment horizontal="right" vertical="center"/>
    </xf>
    <xf numFmtId="0" fontId="29" fillId="0" borderId="0" xfId="0" applyFont="1" applyFill="1" applyBorder="1" applyAlignment="1">
      <alignment horizontal="left" vertical="top"/>
    </xf>
    <xf numFmtId="0" fontId="32" fillId="0" borderId="0" xfId="0" applyFont="1" applyFill="1" applyBorder="1" applyAlignment="1">
      <alignment horizontal="left" vertical="top"/>
    </xf>
    <xf numFmtId="0" fontId="0" fillId="0" borderId="15" xfId="0" applyBorder="1"/>
    <xf numFmtId="0" fontId="0" fillId="16" borderId="15" xfId="0" applyFill="1" applyBorder="1"/>
    <xf numFmtId="0" fontId="4" fillId="16" borderId="17" xfId="0" applyFont="1" applyFill="1" applyBorder="1" applyAlignment="1">
      <alignment vertical="center"/>
    </xf>
    <xf numFmtId="1" fontId="0" fillId="17" borderId="17" xfId="0" applyNumberFormat="1" applyFill="1" applyBorder="1"/>
    <xf numFmtId="0" fontId="29" fillId="0" borderId="15" xfId="0" applyFont="1" applyBorder="1" applyAlignment="1">
      <alignment horizontal="left" vertical="top"/>
    </xf>
    <xf numFmtId="1" fontId="0" fillId="0" borderId="17" xfId="0" applyNumberFormat="1" applyBorder="1" applyAlignment="1">
      <alignment horizontal="right" vertical="center"/>
    </xf>
    <xf numFmtId="0" fontId="4" fillId="16" borderId="17" xfId="0" applyFont="1" applyFill="1" applyBorder="1" applyAlignment="1">
      <alignment horizontal="left" vertical="center"/>
    </xf>
    <xf numFmtId="0" fontId="32" fillId="16" borderId="15" xfId="0" applyFont="1" applyFill="1" applyBorder="1" applyAlignment="1">
      <alignment horizontal="left" vertical="top"/>
    </xf>
    <xf numFmtId="0" fontId="0" fillId="0" borderId="0" xfId="0" applyFill="1" applyBorder="1" applyProtection="1">
      <protection locked="0"/>
    </xf>
    <xf numFmtId="0" fontId="1" fillId="0" borderId="0" xfId="77" applyAlignment="1">
      <alignment horizontal="left" vertical="center"/>
    </xf>
    <xf numFmtId="0" fontId="25" fillId="0" borderId="0" xfId="76" applyFont="1" applyFill="1" applyAlignment="1">
      <alignment horizontal="left" vertical="center" wrapText="1"/>
    </xf>
    <xf numFmtId="0" fontId="1" fillId="0" borderId="0" xfId="77" applyAlignment="1">
      <alignment horizontal="left" vertical="center" wrapText="1"/>
    </xf>
    <xf numFmtId="0" fontId="23" fillId="0" borderId="0" xfId="76" applyFont="1" applyAlignment="1">
      <alignment horizontal="left" vertical="center" wrapText="1"/>
    </xf>
    <xf numFmtId="0" fontId="1" fillId="0" borderId="0" xfId="77" applyAlignment="1">
      <alignment wrapText="1"/>
    </xf>
    <xf numFmtId="0" fontId="24" fillId="0" borderId="0" xfId="76" applyFont="1" applyAlignment="1">
      <alignment horizontal="left" vertical="center" wrapText="1"/>
    </xf>
    <xf numFmtId="0" fontId="24" fillId="0" borderId="0" xfId="76" applyFont="1" applyAlignment="1">
      <alignment wrapText="1"/>
    </xf>
    <xf numFmtId="0" fontId="2" fillId="0" borderId="0" xfId="0" applyFont="1" applyBorder="1" applyProtection="1"/>
    <xf numFmtId="3" fontId="2" fillId="0" borderId="0" xfId="0" applyNumberFormat="1" applyFont="1" applyProtection="1"/>
    <xf numFmtId="3" fontId="0" fillId="0" borderId="0" xfId="0" applyNumberFormat="1" applyFont="1" applyProtection="1"/>
    <xf numFmtId="164" fontId="2" fillId="0" borderId="0" xfId="0" applyNumberFormat="1" applyFont="1" applyProtection="1"/>
    <xf numFmtId="0" fontId="2" fillId="0" borderId="0" xfId="0" applyFont="1" applyProtection="1"/>
    <xf numFmtId="0" fontId="2" fillId="6" borderId="11"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2" fillId="8" borderId="11"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5" fillId="6" borderId="11" xfId="0" applyFont="1" applyFill="1" applyBorder="1" applyAlignment="1" applyProtection="1">
      <alignment horizontal="center" vertical="center" wrapText="1"/>
    </xf>
    <xf numFmtId="164" fontId="5" fillId="6" borderId="11" xfId="0" applyNumberFormat="1" applyFont="1" applyFill="1" applyBorder="1" applyAlignment="1" applyProtection="1">
      <alignment horizontal="center" vertical="center" wrapText="1"/>
    </xf>
    <xf numFmtId="164" fontId="6" fillId="7" borderId="11" xfId="0" applyNumberFormat="1"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2" fillId="0" borderId="11" xfId="0" applyFont="1" applyBorder="1" applyAlignment="1" applyProtection="1">
      <alignment vertical="center"/>
    </xf>
    <xf numFmtId="164" fontId="2" fillId="0" borderId="11" xfId="0" applyNumberFormat="1" applyFont="1" applyFill="1" applyBorder="1" applyAlignment="1" applyProtection="1">
      <alignment vertical="center" wrapText="1"/>
    </xf>
    <xf numFmtId="0" fontId="2" fillId="0" borderId="0" xfId="0" applyFont="1" applyAlignment="1" applyProtection="1">
      <alignment vertical="center"/>
    </xf>
    <xf numFmtId="0" fontId="2" fillId="6" borderId="11" xfId="0" applyFont="1" applyFill="1" applyBorder="1" applyAlignment="1" applyProtection="1">
      <alignment horizontal="center" vertical="center"/>
    </xf>
    <xf numFmtId="1" fontId="2" fillId="6" borderId="11" xfId="0" applyNumberFormat="1" applyFont="1" applyFill="1" applyBorder="1" applyAlignment="1" applyProtection="1">
      <alignment horizontal="right" vertical="center"/>
    </xf>
    <xf numFmtId="164" fontId="2" fillId="6" borderId="11" xfId="0" applyNumberFormat="1" applyFont="1" applyFill="1" applyBorder="1" applyAlignment="1" applyProtection="1">
      <alignment vertical="center" wrapText="1"/>
    </xf>
    <xf numFmtId="0" fontId="4" fillId="0" borderId="0" xfId="0" applyFont="1" applyAlignment="1" applyProtection="1">
      <alignment vertical="center"/>
    </xf>
    <xf numFmtId="0" fontId="2" fillId="0" borderId="11" xfId="0" applyFont="1" applyFill="1" applyBorder="1" applyAlignment="1" applyProtection="1">
      <alignment vertical="center"/>
    </xf>
    <xf numFmtId="1" fontId="2" fillId="0" borderId="11" xfId="0" applyNumberFormat="1" applyFont="1" applyFill="1" applyBorder="1" applyAlignment="1" applyProtection="1">
      <alignment vertical="center"/>
    </xf>
    <xf numFmtId="0" fontId="7" fillId="2" borderId="11" xfId="0" applyFont="1" applyFill="1" applyBorder="1" applyAlignment="1" applyProtection="1">
      <alignment horizontal="center" vertical="center"/>
    </xf>
    <xf numFmtId="1" fontId="7" fillId="2" borderId="11" xfId="0" applyNumberFormat="1" applyFont="1" applyFill="1" applyBorder="1" applyAlignment="1" applyProtection="1">
      <alignment vertical="center"/>
    </xf>
    <xf numFmtId="164" fontId="7" fillId="2" borderId="11" xfId="0" applyNumberFormat="1" applyFont="1" applyFill="1" applyBorder="1" applyAlignment="1" applyProtection="1">
      <alignment vertical="center" wrapText="1"/>
    </xf>
    <xf numFmtId="1" fontId="2" fillId="6" borderId="11" xfId="0" applyNumberFormat="1" applyFont="1" applyFill="1" applyBorder="1" applyAlignment="1" applyProtection="1">
      <alignment vertical="center"/>
    </xf>
    <xf numFmtId="164" fontId="2" fillId="0" borderId="11" xfId="0" applyNumberFormat="1" applyFont="1" applyFill="1" applyBorder="1" applyAlignment="1" applyProtection="1">
      <alignment vertical="center"/>
    </xf>
    <xf numFmtId="164" fontId="2" fillId="6" borderId="11" xfId="0" applyNumberFormat="1" applyFont="1" applyFill="1" applyBorder="1" applyAlignment="1" applyProtection="1">
      <alignment vertical="center"/>
    </xf>
    <xf numFmtId="164" fontId="7" fillId="2" borderId="11" xfId="0" applyNumberFormat="1" applyFont="1" applyFill="1" applyBorder="1" applyAlignment="1" applyProtection="1">
      <alignment vertical="center"/>
    </xf>
    <xf numFmtId="0" fontId="2" fillId="0" borderId="0" xfId="0" applyFont="1" applyBorder="1" applyAlignment="1" applyProtection="1">
      <alignment vertical="center"/>
    </xf>
    <xf numFmtId="0" fontId="3" fillId="2" borderId="11" xfId="0" applyFont="1" applyFill="1" applyBorder="1" applyAlignment="1" applyProtection="1">
      <alignment horizontal="center"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1" fontId="3" fillId="2" borderId="11" xfId="0" applyNumberFormat="1" applyFont="1" applyFill="1" applyBorder="1" applyAlignment="1" applyProtection="1">
      <alignment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vertical="center"/>
    </xf>
    <xf numFmtId="164" fontId="7" fillId="0" borderId="0" xfId="0" applyNumberFormat="1" applyFont="1" applyFill="1" applyBorder="1" applyAlignment="1" applyProtection="1">
      <alignment vertical="center"/>
    </xf>
    <xf numFmtId="3" fontId="7" fillId="0" borderId="0" xfId="0" applyNumberFormat="1" applyFont="1" applyFill="1" applyBorder="1" applyAlignment="1" applyProtection="1">
      <alignment vertical="center"/>
    </xf>
    <xf numFmtId="164" fontId="2" fillId="3" borderId="11" xfId="0" applyNumberFormat="1" applyFont="1" applyFill="1" applyBorder="1" applyAlignment="1" applyProtection="1">
      <alignment vertical="center"/>
    </xf>
    <xf numFmtId="1" fontId="2" fillId="0" borderId="11" xfId="0" applyNumberFormat="1" applyFont="1" applyFill="1" applyBorder="1" applyAlignment="1" applyProtection="1">
      <alignment horizontal="right" vertical="center"/>
      <protection locked="0"/>
    </xf>
    <xf numFmtId="1" fontId="2" fillId="0" borderId="11" xfId="0" applyNumberFormat="1" applyFont="1" applyBorder="1" applyAlignment="1" applyProtection="1">
      <alignment vertical="center"/>
      <protection locked="0"/>
    </xf>
    <xf numFmtId="1" fontId="2" fillId="0" borderId="11" xfId="0" applyNumberFormat="1" applyFont="1" applyBorder="1" applyAlignment="1" applyProtection="1">
      <alignment horizontal="right" vertical="center"/>
      <protection locked="0"/>
    </xf>
    <xf numFmtId="1" fontId="2" fillId="6" borderId="11" xfId="0" applyNumberFormat="1" applyFont="1" applyFill="1" applyBorder="1" applyAlignment="1" applyProtection="1">
      <alignment horizontal="right" vertical="center"/>
      <protection locked="0"/>
    </xf>
    <xf numFmtId="1" fontId="2" fillId="0" borderId="11" xfId="0" applyNumberFormat="1" applyFont="1" applyFill="1" applyBorder="1" applyAlignment="1" applyProtection="1">
      <alignment vertical="center"/>
      <protection locked="0"/>
    </xf>
    <xf numFmtId="1" fontId="0" fillId="0" borderId="11" xfId="0" applyNumberFormat="1" applyFont="1" applyFill="1" applyBorder="1" applyAlignment="1" applyProtection="1">
      <alignment horizontal="right" vertical="center"/>
      <protection locked="0"/>
    </xf>
    <xf numFmtId="1" fontId="2" fillId="6" borderId="11" xfId="0" applyNumberFormat="1" applyFont="1" applyFill="1" applyBorder="1" applyAlignment="1" applyProtection="1">
      <alignment vertical="center"/>
      <protection locked="0"/>
    </xf>
    <xf numFmtId="1" fontId="7" fillId="2" borderId="11" xfId="0" applyNumberFormat="1" applyFont="1" applyFill="1" applyBorder="1" applyAlignment="1" applyProtection="1">
      <alignment vertical="center"/>
      <protection locked="0"/>
    </xf>
    <xf numFmtId="1" fontId="7" fillId="2"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1" fontId="2" fillId="3" borderId="11" xfId="0" applyNumberFormat="1" applyFont="1" applyFill="1" applyBorder="1" applyAlignment="1" applyProtection="1">
      <alignment vertical="center"/>
    </xf>
    <xf numFmtId="0" fontId="3" fillId="2" borderId="11" xfId="0" applyFont="1" applyFill="1" applyBorder="1" applyAlignment="1" applyProtection="1">
      <alignment horizontal="center" vertical="center" wrapText="1"/>
      <protection locked="0"/>
    </xf>
    <xf numFmtId="164" fontId="3" fillId="2" borderId="11" xfId="0" applyNumberFormat="1" applyFont="1" applyFill="1" applyBorder="1" applyAlignment="1" applyProtection="1">
      <alignment vertical="center"/>
    </xf>
    <xf numFmtId="1" fontId="2" fillId="0" borderId="11" xfId="0" applyNumberFormat="1" applyFont="1" applyFill="1" applyBorder="1" applyAlignment="1" applyProtection="1">
      <alignment vertical="center" wrapText="1"/>
    </xf>
    <xf numFmtId="1" fontId="2" fillId="6" borderId="11" xfId="0" applyNumberFormat="1" applyFont="1" applyFill="1" applyBorder="1" applyAlignment="1" applyProtection="1">
      <alignment vertical="center" wrapText="1"/>
    </xf>
    <xf numFmtId="1" fontId="7" fillId="2" borderId="11" xfId="0" applyNumberFormat="1" applyFont="1" applyFill="1" applyBorder="1" applyAlignment="1" applyProtection="1">
      <alignment vertical="center" wrapText="1"/>
    </xf>
    <xf numFmtId="1" fontId="2" fillId="0" borderId="9" xfId="0" applyNumberFormat="1" applyFont="1" applyBorder="1" applyAlignment="1" applyProtection="1">
      <alignment horizontal="right" vertical="center"/>
      <protection locked="0"/>
    </xf>
    <xf numFmtId="1" fontId="2" fillId="6" borderId="9" xfId="0" applyNumberFormat="1" applyFont="1" applyFill="1" applyBorder="1" applyAlignment="1" applyProtection="1">
      <alignment horizontal="right" vertical="center"/>
    </xf>
    <xf numFmtId="1" fontId="2" fillId="0" borderId="9" xfId="0" applyNumberFormat="1" applyFont="1" applyFill="1" applyBorder="1" applyAlignment="1" applyProtection="1">
      <alignment horizontal="right" vertical="center"/>
      <protection locked="0"/>
    </xf>
    <xf numFmtId="1" fontId="7" fillId="2" borderId="9" xfId="0" applyNumberFormat="1" applyFont="1" applyFill="1" applyBorder="1" applyAlignment="1" applyProtection="1">
      <alignment vertical="center"/>
    </xf>
    <xf numFmtId="1" fontId="2" fillId="6" borderId="9" xfId="0" applyNumberFormat="1" applyFont="1" applyFill="1" applyBorder="1" applyAlignment="1" applyProtection="1">
      <alignment vertical="center"/>
    </xf>
    <xf numFmtId="1" fontId="2" fillId="0" borderId="9" xfId="0" applyNumberFormat="1" applyFont="1" applyBorder="1" applyAlignment="1" applyProtection="1">
      <alignment vertical="center"/>
      <protection locked="0"/>
    </xf>
    <xf numFmtId="1" fontId="7" fillId="2" borderId="9" xfId="0" applyNumberFormat="1" applyFont="1" applyFill="1" applyBorder="1" applyAlignment="1" applyProtection="1">
      <alignment horizontal="right" vertical="center"/>
      <protection locked="0"/>
    </xf>
    <xf numFmtId="1" fontId="2" fillId="6" borderId="9" xfId="0" applyNumberFormat="1" applyFont="1" applyFill="1" applyBorder="1" applyAlignment="1" applyProtection="1">
      <alignment horizontal="right" vertical="center"/>
      <protection locked="0"/>
    </xf>
    <xf numFmtId="1" fontId="3" fillId="2" borderId="9" xfId="0" applyNumberFormat="1" applyFont="1" applyFill="1" applyBorder="1" applyAlignment="1" applyProtection="1">
      <alignment vertical="center"/>
    </xf>
    <xf numFmtId="164" fontId="5" fillId="6" borderId="31" xfId="0" applyNumberFormat="1" applyFont="1" applyFill="1" applyBorder="1" applyAlignment="1" applyProtection="1">
      <alignment horizontal="center" vertical="center" wrapText="1"/>
    </xf>
    <xf numFmtId="164" fontId="2" fillId="0" borderId="31" xfId="0" applyNumberFormat="1" applyFont="1" applyFill="1" applyBorder="1" applyAlignment="1" applyProtection="1">
      <alignment vertical="center" wrapText="1"/>
    </xf>
    <xf numFmtId="164" fontId="2" fillId="6" borderId="31" xfId="0" applyNumberFormat="1" applyFont="1" applyFill="1" applyBorder="1" applyAlignment="1" applyProtection="1">
      <alignment vertical="center" wrapText="1"/>
    </xf>
    <xf numFmtId="164" fontId="7" fillId="2" borderId="31" xfId="0" applyNumberFormat="1" applyFont="1" applyFill="1" applyBorder="1" applyAlignment="1" applyProtection="1">
      <alignment vertical="center" wrapText="1"/>
    </xf>
    <xf numFmtId="164" fontId="2" fillId="0" borderId="31" xfId="0" applyNumberFormat="1" applyFont="1" applyFill="1" applyBorder="1" applyAlignment="1" applyProtection="1">
      <alignment vertical="center"/>
    </xf>
    <xf numFmtId="164" fontId="2" fillId="6" borderId="31" xfId="0" applyNumberFormat="1" applyFont="1" applyFill="1" applyBorder="1" applyAlignment="1" applyProtection="1">
      <alignment vertical="center"/>
    </xf>
    <xf numFmtId="164" fontId="7" fillId="2" borderId="31" xfId="0" applyNumberFormat="1" applyFont="1" applyFill="1" applyBorder="1" applyAlignment="1" applyProtection="1">
      <alignment vertical="center"/>
    </xf>
    <xf numFmtId="164" fontId="3" fillId="2" borderId="31" xfId="0" applyNumberFormat="1" applyFont="1" applyFill="1" applyBorder="1" applyAlignment="1" applyProtection="1">
      <alignment vertical="center"/>
    </xf>
    <xf numFmtId="1" fontId="2" fillId="3" borderId="9" xfId="0" applyNumberFormat="1" applyFont="1" applyFill="1" applyBorder="1" applyAlignment="1" applyProtection="1">
      <alignment vertical="center"/>
    </xf>
    <xf numFmtId="164" fontId="2" fillId="3" borderId="31" xfId="0" applyNumberFormat="1" applyFont="1" applyFill="1" applyBorder="1" applyAlignment="1" applyProtection="1">
      <alignment vertical="center"/>
    </xf>
    <xf numFmtId="14" fontId="1" fillId="0" borderId="0" xfId="77" applyNumberFormat="1"/>
    <xf numFmtId="0" fontId="28" fillId="0" borderId="0" xfId="77" applyFont="1" applyAlignment="1" applyProtection="1">
      <alignment horizontal="left" vertical="center"/>
    </xf>
    <xf numFmtId="0" fontId="0" fillId="19" borderId="17" xfId="0" applyFill="1" applyBorder="1" applyAlignment="1" applyProtection="1">
      <alignment horizontal="left" vertical="center"/>
      <protection locked="0"/>
    </xf>
    <xf numFmtId="0" fontId="29" fillId="0" borderId="0" xfId="0" applyFont="1" applyBorder="1" applyAlignment="1">
      <alignment horizontal="left" vertical="top"/>
    </xf>
    <xf numFmtId="0" fontId="3" fillId="2" borderId="36" xfId="0" applyFont="1" applyFill="1" applyBorder="1" applyAlignment="1">
      <alignment horizontal="left" vertical="top"/>
    </xf>
    <xf numFmtId="1" fontId="0" fillId="0" borderId="36" xfId="0" applyNumberFormat="1" applyBorder="1"/>
    <xf numFmtId="164" fontId="0" fillId="0" borderId="38" xfId="0" applyNumberFormat="1" applyBorder="1"/>
    <xf numFmtId="1" fontId="0" fillId="0" borderId="39" xfId="0" applyNumberFormat="1" applyBorder="1"/>
    <xf numFmtId="1" fontId="0" fillId="17" borderId="36" xfId="0" applyNumberFormat="1" applyFill="1" applyBorder="1"/>
    <xf numFmtId="1" fontId="0" fillId="17" borderId="38" xfId="0" applyNumberFormat="1" applyFill="1" applyBorder="1"/>
    <xf numFmtId="1" fontId="0" fillId="17" borderId="39" xfId="0" applyNumberFormat="1" applyFill="1" applyBorder="1"/>
    <xf numFmtId="0" fontId="0" fillId="15" borderId="17" xfId="0" applyFill="1" applyBorder="1" applyAlignment="1">
      <alignment horizontal="right" vertical="center"/>
    </xf>
    <xf numFmtId="0" fontId="35" fillId="18" borderId="17" xfId="0" applyFont="1" applyFill="1" applyBorder="1" applyAlignment="1" applyProtection="1">
      <alignment horizontal="right" vertical="center"/>
      <protection locked="0"/>
    </xf>
    <xf numFmtId="0" fontId="0" fillId="0" borderId="11" xfId="0" applyFont="1" applyFill="1" applyBorder="1" applyAlignment="1" applyProtection="1">
      <alignment vertical="center"/>
    </xf>
    <xf numFmtId="1" fontId="2" fillId="1" borderId="11" xfId="0" applyNumberFormat="1" applyFont="1" applyFill="1" applyBorder="1" applyAlignment="1" applyProtection="1">
      <alignment vertical="center"/>
      <protection locked="0"/>
    </xf>
    <xf numFmtId="1" fontId="2" fillId="1" borderId="11" xfId="0" applyNumberFormat="1" applyFont="1" applyFill="1" applyBorder="1" applyAlignment="1" applyProtection="1">
      <alignment horizontal="right" vertical="center"/>
      <protection locked="0"/>
    </xf>
    <xf numFmtId="1" fontId="2" fillId="1" borderId="9" xfId="0" applyNumberFormat="1" applyFont="1" applyFill="1" applyBorder="1" applyAlignment="1" applyProtection="1">
      <alignment horizontal="right" vertical="center"/>
      <protection locked="0"/>
    </xf>
    <xf numFmtId="164" fontId="2" fillId="1" borderId="31" xfId="0" applyNumberFormat="1" applyFont="1" applyFill="1" applyBorder="1" applyAlignment="1" applyProtection="1">
      <alignment vertical="center" wrapText="1"/>
    </xf>
    <xf numFmtId="1" fontId="2" fillId="1" borderId="11" xfId="0" applyNumberFormat="1" applyFont="1" applyFill="1" applyBorder="1" applyAlignment="1" applyProtection="1">
      <alignment vertical="center" wrapText="1"/>
    </xf>
    <xf numFmtId="164" fontId="2" fillId="1" borderId="11" xfId="0" applyNumberFormat="1" applyFont="1" applyFill="1" applyBorder="1" applyAlignment="1" applyProtection="1">
      <alignment vertical="center" wrapText="1"/>
    </xf>
    <xf numFmtId="0" fontId="2" fillId="1" borderId="11" xfId="0" applyFont="1" applyFill="1" applyBorder="1" applyAlignment="1" applyProtection="1">
      <alignment vertical="center"/>
    </xf>
    <xf numFmtId="164" fontId="2" fillId="1" borderId="31" xfId="0" applyNumberFormat="1" applyFont="1" applyFill="1" applyBorder="1" applyAlignment="1" applyProtection="1">
      <alignment vertical="center"/>
    </xf>
    <xf numFmtId="1" fontId="2" fillId="1" borderId="11" xfId="0" applyNumberFormat="1" applyFont="1" applyFill="1" applyBorder="1" applyAlignment="1" applyProtection="1">
      <alignment vertical="center"/>
    </xf>
    <xf numFmtId="164" fontId="2" fillId="1" borderId="11" xfId="0" applyNumberFormat="1" applyFont="1" applyFill="1" applyBorder="1" applyAlignment="1" applyProtection="1">
      <alignment vertical="center"/>
    </xf>
    <xf numFmtId="0" fontId="0" fillId="8" borderId="11" xfId="0" applyFont="1" applyFill="1" applyBorder="1" applyAlignment="1">
      <alignment horizontal="left" vertical="center" wrapText="1"/>
    </xf>
    <xf numFmtId="0" fontId="0" fillId="0" borderId="0" xfId="31" applyFont="1"/>
    <xf numFmtId="0" fontId="24" fillId="0" borderId="0" xfId="76" applyFont="1" applyFill="1" applyAlignment="1">
      <alignment horizontal="left" vertical="center" wrapText="1"/>
    </xf>
    <xf numFmtId="0" fontId="5" fillId="0" borderId="0" xfId="77" applyFont="1" applyAlignment="1">
      <alignment horizontal="left" vertical="center" wrapText="1"/>
    </xf>
    <xf numFmtId="0" fontId="2" fillId="8" borderId="1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2" xfId="31" applyFont="1" applyFill="1" applyBorder="1" applyAlignment="1">
      <alignment horizontal="center" vertical="center" wrapText="1"/>
    </xf>
    <xf numFmtId="0" fontId="2" fillId="8" borderId="13" xfId="31" applyFont="1" applyFill="1" applyBorder="1" applyAlignment="1">
      <alignment horizontal="center" vertical="center" wrapText="1"/>
    </xf>
    <xf numFmtId="0" fontId="2" fillId="8" borderId="14" xfId="31" applyFont="1" applyFill="1" applyBorder="1" applyAlignment="1">
      <alignment horizontal="center" vertical="center" wrapText="1"/>
    </xf>
    <xf numFmtId="0" fontId="36" fillId="0" borderId="0" xfId="31" applyFont="1" applyAlignment="1">
      <alignment horizontal="center" vertical="center"/>
    </xf>
    <xf numFmtId="0" fontId="2" fillId="12" borderId="12"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14" xfId="0" applyFont="1" applyFill="1" applyBorder="1" applyAlignment="1">
      <alignment horizontal="center" vertical="center" wrapText="1"/>
    </xf>
    <xf numFmtId="0" fontId="2" fillId="4" borderId="12" xfId="31" applyFont="1" applyFill="1" applyBorder="1" applyAlignment="1">
      <alignment horizontal="left" vertical="center" wrapText="1"/>
    </xf>
    <xf numFmtId="0" fontId="2" fillId="4" borderId="13" xfId="31" applyFont="1" applyFill="1" applyBorder="1" applyAlignment="1">
      <alignment horizontal="left" vertical="center" wrapText="1"/>
    </xf>
    <xf numFmtId="0" fontId="2" fillId="4" borderId="14" xfId="31" applyFont="1" applyFill="1" applyBorder="1" applyAlignment="1">
      <alignment horizontal="left" vertical="center" wrapText="1"/>
    </xf>
    <xf numFmtId="0" fontId="2" fillId="4" borderId="12"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4" fillId="0" borderId="4" xfId="31" applyFont="1" applyBorder="1" applyAlignment="1">
      <alignment horizontal="center"/>
    </xf>
    <xf numFmtId="0" fontId="2" fillId="8" borderId="1" xfId="31" applyFont="1" applyFill="1" applyBorder="1" applyAlignment="1">
      <alignment horizontal="center" vertical="center" wrapText="1"/>
    </xf>
    <xf numFmtId="0" fontId="2" fillId="8" borderId="5" xfId="31" applyFont="1" applyFill="1" applyBorder="1" applyAlignment="1">
      <alignment horizontal="center" vertical="center" wrapText="1"/>
    </xf>
    <xf numFmtId="0" fontId="2" fillId="8" borderId="10" xfId="31" applyFont="1" applyFill="1" applyBorder="1" applyAlignment="1">
      <alignment horizontal="center" vertical="center" wrapText="1"/>
    </xf>
    <xf numFmtId="0" fontId="21" fillId="14" borderId="3" xfId="0" applyFont="1" applyFill="1" applyBorder="1" applyAlignment="1">
      <alignment horizontal="left" vertical="center" wrapText="1"/>
    </xf>
    <xf numFmtId="0" fontId="21" fillId="14" borderId="0" xfId="0" applyFont="1" applyFill="1" applyBorder="1" applyAlignment="1">
      <alignment horizontal="left" vertical="center" wrapText="1"/>
    </xf>
    <xf numFmtId="0" fontId="21" fillId="14" borderId="4" xfId="0" applyFont="1" applyFill="1" applyBorder="1" applyAlignment="1">
      <alignment horizontal="left" vertical="center" wrapText="1"/>
    </xf>
    <xf numFmtId="3" fontId="2" fillId="3" borderId="9" xfId="0" applyNumberFormat="1" applyFont="1" applyFill="1" applyBorder="1" applyAlignment="1" applyProtection="1">
      <alignment horizontal="center" vertical="center"/>
    </xf>
    <xf numFmtId="3" fontId="2" fillId="3" borderId="8" xfId="0" applyNumberFormat="1" applyFont="1" applyFill="1" applyBorder="1" applyAlignment="1" applyProtection="1">
      <alignment horizontal="center" vertical="center"/>
    </xf>
    <xf numFmtId="3" fontId="3" fillId="2" borderId="11" xfId="0" applyNumberFormat="1" applyFont="1" applyFill="1" applyBorder="1" applyAlignment="1" applyProtection="1">
      <alignment horizontal="center" vertical="center"/>
    </xf>
    <xf numFmtId="0" fontId="4" fillId="7" borderId="9" xfId="0" applyFont="1" applyFill="1" applyBorder="1" applyAlignment="1" applyProtection="1">
      <alignment horizontal="center" vertical="center" wrapText="1"/>
    </xf>
    <xf numFmtId="0" fontId="4" fillId="7" borderId="8"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xf>
    <xf numFmtId="0" fontId="3" fillId="2" borderId="29"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2" fillId="6" borderId="30" xfId="0" applyFont="1" applyFill="1" applyBorder="1" applyAlignment="1" applyProtection="1">
      <alignment horizontal="center" vertical="center" wrapText="1"/>
    </xf>
    <xf numFmtId="0" fontId="2" fillId="6" borderId="8" xfId="0" applyFont="1" applyFill="1" applyBorder="1" applyAlignment="1" applyProtection="1">
      <alignment horizontal="center" vertical="center" wrapText="1"/>
    </xf>
    <xf numFmtId="0" fontId="2" fillId="6" borderId="9"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29" fillId="0" borderId="4" xfId="0" applyFont="1" applyBorder="1" applyAlignment="1" applyProtection="1">
      <alignment horizontal="left" vertical="top" wrapText="1"/>
    </xf>
    <xf numFmtId="3" fontId="29" fillId="0" borderId="4" xfId="0" applyNumberFormat="1" applyFont="1" applyFill="1" applyBorder="1" applyAlignment="1" applyProtection="1">
      <alignment horizontal="left" vertical="top" wrapText="1"/>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29" fillId="16" borderId="15" xfId="0" applyFont="1" applyFill="1" applyBorder="1" applyAlignment="1">
      <alignment horizontal="left" vertical="top" wrapText="1"/>
    </xf>
    <xf numFmtId="0" fontId="32" fillId="16" borderId="15" xfId="0" applyFont="1" applyFill="1" applyBorder="1" applyAlignment="1">
      <alignment horizontal="left" vertical="top"/>
    </xf>
    <xf numFmtId="0" fontId="34" fillId="8" borderId="22" xfId="0" applyFont="1" applyFill="1" applyBorder="1" applyAlignment="1">
      <alignment horizontal="left" vertical="top" wrapText="1"/>
    </xf>
    <xf numFmtId="0" fontId="34" fillId="8" borderId="16" xfId="0" applyFont="1" applyFill="1" applyBorder="1" applyAlignment="1">
      <alignment horizontal="left" vertical="top" wrapText="1"/>
    </xf>
    <xf numFmtId="0" fontId="34" fillId="8" borderId="23" xfId="0" applyFont="1" applyFill="1" applyBorder="1" applyAlignment="1">
      <alignment horizontal="left" vertical="top" wrapText="1"/>
    </xf>
    <xf numFmtId="0" fontId="29" fillId="8" borderId="0" xfId="0" applyFont="1" applyFill="1" applyBorder="1" applyAlignment="1" applyProtection="1">
      <alignment horizontal="left" vertical="center"/>
      <protection locked="0"/>
    </xf>
    <xf numFmtId="0" fontId="0" fillId="0" borderId="0" xfId="0" applyFill="1" applyBorder="1" applyAlignment="1">
      <alignment horizontal="left" vertical="center"/>
    </xf>
    <xf numFmtId="0" fontId="4" fillId="16" borderId="22" xfId="0" applyFont="1" applyFill="1" applyBorder="1" applyAlignment="1">
      <alignment horizontal="left" vertical="top" wrapText="1"/>
    </xf>
    <xf numFmtId="0" fontId="4" fillId="16" borderId="23" xfId="0" applyFont="1" applyFill="1" applyBorder="1" applyAlignment="1">
      <alignment horizontal="left" vertical="top" wrapText="1"/>
    </xf>
    <xf numFmtId="0" fontId="0" fillId="8" borderId="0" xfId="0" applyFill="1" applyBorder="1" applyAlignment="1" applyProtection="1">
      <alignment horizontal="center"/>
      <protection locked="0"/>
    </xf>
    <xf numFmtId="0" fontId="30" fillId="8" borderId="24" xfId="0" applyFont="1" applyFill="1" applyBorder="1" applyAlignment="1">
      <alignment horizontal="left" vertical="top" wrapText="1"/>
    </xf>
    <xf numFmtId="0" fontId="30" fillId="8" borderId="25" xfId="0" applyFont="1" applyFill="1" applyBorder="1" applyAlignment="1">
      <alignment horizontal="left" vertical="top" wrapText="1"/>
    </xf>
    <xf numFmtId="0" fontId="30" fillId="8" borderId="26" xfId="0" applyFont="1" applyFill="1" applyBorder="1" applyAlignment="1">
      <alignment horizontal="left" vertical="top" wrapText="1"/>
    </xf>
    <xf numFmtId="0" fontId="30" fillId="8" borderId="21" xfId="0" applyFont="1" applyFill="1" applyBorder="1" applyAlignment="1">
      <alignment horizontal="left" vertical="top" wrapText="1"/>
    </xf>
    <xf numFmtId="0" fontId="30" fillId="8" borderId="27" xfId="0" applyFont="1" applyFill="1" applyBorder="1" applyAlignment="1">
      <alignment horizontal="left" vertical="top" wrapText="1"/>
    </xf>
    <xf numFmtId="0" fontId="30" fillId="8" borderId="28" xfId="0" applyFont="1" applyFill="1" applyBorder="1" applyAlignment="1">
      <alignment horizontal="left" vertical="top" wrapText="1"/>
    </xf>
    <xf numFmtId="0" fontId="0" fillId="0" borderId="22" xfId="0" applyBorder="1" applyAlignment="1">
      <alignment horizontal="left" vertical="center"/>
    </xf>
    <xf numFmtId="0" fontId="0" fillId="0" borderId="23" xfId="0" applyBorder="1" applyAlignment="1">
      <alignment horizontal="left" vertical="center"/>
    </xf>
    <xf numFmtId="0" fontId="34" fillId="8" borderId="18" xfId="0" applyFont="1" applyFill="1" applyBorder="1" applyAlignment="1">
      <alignment horizontal="left" vertical="top" wrapText="1"/>
    </xf>
    <xf numFmtId="0" fontId="34" fillId="8" borderId="19" xfId="0" applyFont="1" applyFill="1" applyBorder="1" applyAlignment="1">
      <alignment horizontal="left" vertical="top" wrapText="1"/>
    </xf>
    <xf numFmtId="0" fontId="34" fillId="8" borderId="20" xfId="0" applyFont="1" applyFill="1" applyBorder="1" applyAlignment="1">
      <alignment horizontal="left" vertical="top" wrapText="1"/>
    </xf>
    <xf numFmtId="0" fontId="4" fillId="16" borderId="22" xfId="0" applyFont="1" applyFill="1" applyBorder="1" applyAlignment="1">
      <alignment horizontal="left" vertical="center"/>
    </xf>
    <xf numFmtId="0" fontId="4" fillId="16" borderId="23" xfId="0" applyFont="1" applyFill="1" applyBorder="1" applyAlignment="1">
      <alignment horizontal="left" vertical="center"/>
    </xf>
    <xf numFmtId="0" fontId="29" fillId="16" borderId="15" xfId="0" applyFont="1" applyFill="1" applyBorder="1" applyAlignment="1">
      <alignment horizontal="left" wrapText="1"/>
    </xf>
    <xf numFmtId="0" fontId="4" fillId="16" borderId="17" xfId="0" applyFont="1" applyFill="1" applyBorder="1" applyAlignment="1">
      <alignment horizontal="left" vertical="center"/>
    </xf>
    <xf numFmtId="0" fontId="4" fillId="16" borderId="17" xfId="0" applyFont="1" applyFill="1" applyBorder="1" applyAlignment="1">
      <alignment horizontal="left" vertical="top"/>
    </xf>
    <xf numFmtId="0" fontId="32" fillId="0" borderId="0" xfId="0" applyFont="1" applyFill="1" applyBorder="1" applyAlignment="1">
      <alignment horizontal="left" vertical="center"/>
    </xf>
    <xf numFmtId="0" fontId="34" fillId="8" borderId="17" xfId="0" applyFont="1" applyFill="1" applyBorder="1" applyAlignment="1">
      <alignment horizontal="left" vertical="top" wrapText="1"/>
    </xf>
    <xf numFmtId="0" fontId="0" fillId="15" borderId="22" xfId="0" applyFill="1" applyBorder="1" applyAlignment="1">
      <alignment horizontal="right" vertical="center"/>
    </xf>
    <xf numFmtId="0" fontId="0" fillId="15" borderId="16" xfId="0" applyFill="1" applyBorder="1" applyAlignment="1">
      <alignment horizontal="right" vertical="center"/>
    </xf>
    <xf numFmtId="0" fontId="0" fillId="15" borderId="23" xfId="0" applyFill="1" applyBorder="1" applyAlignment="1">
      <alignment horizontal="right" vertical="center"/>
    </xf>
    <xf numFmtId="0" fontId="4" fillId="0" borderId="17" xfId="0" applyFont="1" applyBorder="1" applyAlignment="1">
      <alignment horizontal="left" vertical="center"/>
    </xf>
    <xf numFmtId="0" fontId="0" fillId="19" borderId="17" xfId="0" applyFill="1" applyBorder="1" applyAlignment="1" applyProtection="1">
      <alignment horizontal="left" vertical="center"/>
      <protection locked="0"/>
    </xf>
    <xf numFmtId="0" fontId="4" fillId="0" borderId="22" xfId="0" applyFont="1" applyBorder="1" applyAlignment="1">
      <alignment horizontal="left" vertical="center"/>
    </xf>
    <xf numFmtId="0" fontId="4" fillId="0" borderId="16" xfId="0" applyFont="1" applyBorder="1" applyAlignment="1">
      <alignment horizontal="left" vertical="center"/>
    </xf>
    <xf numFmtId="0" fontId="4" fillId="0" borderId="23" xfId="0" applyFont="1" applyBorder="1" applyAlignment="1">
      <alignment horizontal="left" vertical="center"/>
    </xf>
    <xf numFmtId="0" fontId="0" fillId="0" borderId="17" xfId="0" applyBorder="1" applyAlignment="1">
      <alignment horizontal="center" textRotation="90" wrapText="1"/>
    </xf>
    <xf numFmtId="0" fontId="0" fillId="15" borderId="17" xfId="0" applyFill="1" applyBorder="1" applyAlignment="1">
      <alignment horizontal="center" textRotation="90" wrapText="1"/>
    </xf>
    <xf numFmtId="0" fontId="0" fillId="0" borderId="17" xfId="0" applyBorder="1" applyAlignment="1">
      <alignment horizontal="left"/>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17" xfId="0" applyBorder="1" applyAlignment="1">
      <alignment horizontal="left" vertical="center"/>
    </xf>
    <xf numFmtId="0" fontId="33" fillId="6" borderId="17" xfId="0" applyFont="1" applyFill="1" applyBorder="1" applyAlignment="1">
      <alignment horizontal="left" vertical="top" wrapText="1"/>
    </xf>
    <xf numFmtId="0" fontId="32" fillId="17" borderId="17" xfId="0" applyFont="1" applyFill="1" applyBorder="1" applyAlignment="1">
      <alignment horizontal="left" vertical="center"/>
    </xf>
    <xf numFmtId="0" fontId="3" fillId="2" borderId="17" xfId="0" applyFont="1" applyFill="1" applyBorder="1" applyAlignment="1">
      <alignment horizontal="center" vertical="top"/>
    </xf>
    <xf numFmtId="0" fontId="33" fillId="6" borderId="26" xfId="0" applyFont="1" applyFill="1" applyBorder="1" applyAlignment="1">
      <alignment horizontal="left" vertical="top" wrapText="1"/>
    </xf>
    <xf numFmtId="0" fontId="33" fillId="6" borderId="21" xfId="0" applyFont="1" applyFill="1" applyBorder="1" applyAlignment="1">
      <alignment horizontal="left" vertical="top" wrapText="1"/>
    </xf>
    <xf numFmtId="0" fontId="33" fillId="6" borderId="27" xfId="0" applyFont="1" applyFill="1" applyBorder="1" applyAlignment="1">
      <alignment horizontal="left" vertical="top" wrapText="1"/>
    </xf>
    <xf numFmtId="0" fontId="33" fillId="6" borderId="28" xfId="0" applyFont="1" applyFill="1" applyBorder="1" applyAlignment="1">
      <alignment horizontal="left" vertical="top" wrapText="1"/>
    </xf>
    <xf numFmtId="0" fontId="32" fillId="20" borderId="17" xfId="0" applyFont="1" applyFill="1" applyBorder="1" applyAlignment="1" applyProtection="1">
      <alignment horizontal="left" vertical="top" wrapText="1"/>
      <protection locked="0"/>
    </xf>
    <xf numFmtId="0" fontId="32" fillId="0" borderId="0" xfId="0" applyFont="1" applyBorder="1" applyAlignment="1">
      <alignment horizontal="left" vertical="center"/>
    </xf>
    <xf numFmtId="0" fontId="32" fillId="20" borderId="33" xfId="0" applyFont="1" applyFill="1" applyBorder="1" applyAlignment="1" applyProtection="1">
      <alignment horizontal="left" vertical="top" wrapText="1"/>
      <protection locked="0"/>
    </xf>
    <xf numFmtId="0" fontId="32" fillId="20" borderId="34" xfId="0" applyFont="1" applyFill="1" applyBorder="1" applyAlignment="1" applyProtection="1">
      <alignment horizontal="left" vertical="top" wrapText="1"/>
      <protection locked="0"/>
    </xf>
    <xf numFmtId="0" fontId="32" fillId="21" borderId="36" xfId="0" applyFont="1" applyFill="1" applyBorder="1" applyAlignment="1" applyProtection="1">
      <alignment horizontal="left" vertical="top" wrapText="1"/>
      <protection locked="0"/>
    </xf>
    <xf numFmtId="0" fontId="32" fillId="17" borderId="35" xfId="0" applyFont="1" applyFill="1" applyBorder="1" applyAlignment="1">
      <alignment horizontal="left" vertical="center"/>
    </xf>
    <xf numFmtId="0" fontId="32" fillId="17" borderId="37" xfId="0" applyFont="1" applyFill="1" applyBorder="1" applyAlignment="1">
      <alignment horizontal="left" vertical="center"/>
    </xf>
    <xf numFmtId="0" fontId="32" fillId="17" borderId="38" xfId="0" applyFont="1" applyFill="1" applyBorder="1" applyAlignment="1">
      <alignment horizontal="left" vertical="center"/>
    </xf>
    <xf numFmtId="0" fontId="32" fillId="0" borderId="0" xfId="0" applyFont="1" applyBorder="1" applyAlignment="1">
      <alignment horizontal="left" vertical="center" shrinkToFit="1"/>
    </xf>
    <xf numFmtId="0" fontId="29" fillId="0" borderId="15" xfId="0" applyFont="1" applyBorder="1" applyAlignment="1">
      <alignment horizontal="left" vertical="top"/>
    </xf>
    <xf numFmtId="0" fontId="3" fillId="2" borderId="32" xfId="0" applyFont="1" applyFill="1" applyBorder="1" applyAlignment="1">
      <alignment horizontal="center" vertical="top"/>
    </xf>
    <xf numFmtId="0" fontId="3" fillId="2" borderId="33" xfId="0" applyFont="1" applyFill="1" applyBorder="1" applyAlignment="1">
      <alignment horizontal="center" vertical="top"/>
    </xf>
    <xf numFmtId="0" fontId="3" fillId="2" borderId="35" xfId="0" applyFont="1" applyFill="1" applyBorder="1" applyAlignment="1">
      <alignment horizontal="center" vertical="top"/>
    </xf>
    <xf numFmtId="0" fontId="32" fillId="21" borderId="40" xfId="0" applyFont="1" applyFill="1" applyBorder="1" applyAlignment="1" applyProtection="1">
      <alignment horizontal="left" vertical="top" wrapText="1"/>
      <protection locked="0"/>
    </xf>
    <xf numFmtId="0" fontId="32" fillId="21" borderId="21" xfId="0" applyFont="1" applyFill="1" applyBorder="1" applyAlignment="1" applyProtection="1">
      <alignment horizontal="left" vertical="top" wrapText="1"/>
      <protection locked="0"/>
    </xf>
    <xf numFmtId="0" fontId="32" fillId="21" borderId="41" xfId="0" applyFont="1" applyFill="1" applyBorder="1" applyAlignment="1" applyProtection="1">
      <alignment horizontal="left" vertical="top" wrapText="1"/>
      <protection locked="0"/>
    </xf>
    <xf numFmtId="0" fontId="32" fillId="21" borderId="28" xfId="0" applyFont="1" applyFill="1" applyBorder="1" applyAlignment="1" applyProtection="1">
      <alignment horizontal="left" vertical="top" wrapText="1"/>
      <protection locked="0"/>
    </xf>
    <xf numFmtId="0" fontId="32" fillId="21" borderId="17" xfId="0" applyFont="1" applyFill="1" applyBorder="1" applyAlignment="1" applyProtection="1">
      <alignment horizontal="left" vertical="top" wrapText="1"/>
      <protection locked="0"/>
    </xf>
    <xf numFmtId="0" fontId="32" fillId="0" borderId="17" xfId="0" applyFont="1" applyBorder="1" applyAlignment="1">
      <alignment horizontal="left" vertical="center" shrinkToFit="1"/>
    </xf>
    <xf numFmtId="0" fontId="32" fillId="0" borderId="35" xfId="0" applyFont="1" applyBorder="1" applyAlignment="1">
      <alignment horizontal="left" vertical="center" shrinkToFit="1"/>
    </xf>
    <xf numFmtId="0" fontId="32" fillId="0" borderId="37" xfId="0" applyFont="1" applyBorder="1" applyAlignment="1">
      <alignment horizontal="left" vertical="center" shrinkToFit="1"/>
    </xf>
    <xf numFmtId="0" fontId="32" fillId="0" borderId="38" xfId="0" applyFont="1" applyBorder="1" applyAlignment="1">
      <alignment horizontal="left" vertical="center" shrinkToFit="1"/>
    </xf>
    <xf numFmtId="0" fontId="33" fillId="6" borderId="17" xfId="0" applyFont="1" applyFill="1" applyBorder="1" applyAlignment="1" applyProtection="1">
      <alignment horizontal="left" vertical="top" wrapText="1"/>
    </xf>
    <xf numFmtId="0" fontId="32" fillId="20" borderId="35" xfId="0" applyFont="1" applyFill="1" applyBorder="1" applyAlignment="1" applyProtection="1">
      <alignment horizontal="left" vertical="top" wrapText="1"/>
      <protection locked="0"/>
    </xf>
    <xf numFmtId="0" fontId="32" fillId="20" borderId="36" xfId="0" applyFont="1" applyFill="1" applyBorder="1" applyAlignment="1" applyProtection="1">
      <alignment horizontal="left" vertical="top" wrapText="1"/>
      <protection locked="0"/>
    </xf>
  </cellXfs>
  <cellStyles count="78">
    <cellStyle name="Calc Currency (0)" xfId="1"/>
    <cellStyle name="Calc Currency (0) 2" xfId="2"/>
    <cellStyle name="Calc Currency (0) 3" xfId="3"/>
    <cellStyle name="Calc Currency (0) 4" xfId="4"/>
    <cellStyle name="Calc Currency (0) 5" xfId="5"/>
    <cellStyle name="Comma 10" xfId="6"/>
    <cellStyle name="Comma 10 2" xfId="7"/>
    <cellStyle name="Comma 11" xfId="8"/>
    <cellStyle name="Comma 12" xfId="9"/>
    <cellStyle name="Comma 2" xfId="10"/>
    <cellStyle name="Comma 3" xfId="11"/>
    <cellStyle name="Comma 3 2" xfId="12"/>
    <cellStyle name="Comma 3 2 2" xfId="13"/>
    <cellStyle name="Comma 4" xfId="14"/>
    <cellStyle name="Comma 5" xfId="15"/>
    <cellStyle name="Comma 6" xfId="16"/>
    <cellStyle name="Comma 7" xfId="17"/>
    <cellStyle name="Comma 8" xfId="18"/>
    <cellStyle name="Comma 9" xfId="19"/>
    <cellStyle name="Dezimal [0]_Compiling Utility Macros" xfId="20"/>
    <cellStyle name="Dezimal_Compiling Utility Macros" xfId="21"/>
    <cellStyle name="Dollar" xfId="22"/>
    <cellStyle name="Grey" xfId="23"/>
    <cellStyle name="Header1" xfId="24"/>
    <cellStyle name="Header2" xfId="25"/>
    <cellStyle name="Input [yellow]" xfId="26"/>
    <cellStyle name="Milliers_1018" xfId="27"/>
    <cellStyle name="MOQ" xfId="28"/>
    <cellStyle name="Normal - Style1" xfId="29"/>
    <cellStyle name="Normal 10" xfId="30"/>
    <cellStyle name="Normal 11" xfId="77"/>
    <cellStyle name="Normal 2" xfId="31"/>
    <cellStyle name="Normal 2 2" xfId="32"/>
    <cellStyle name="Normal 3" xfId="33"/>
    <cellStyle name="Normal 3 2" xfId="34"/>
    <cellStyle name="Normal 3 2 2" xfId="35"/>
    <cellStyle name="Normal 3 3" xfId="36"/>
    <cellStyle name="Normal 3 4" xfId="37"/>
    <cellStyle name="Normal 3 5" xfId="38"/>
    <cellStyle name="Normal 38" xfId="39"/>
    <cellStyle name="Normal 4" xfId="40"/>
    <cellStyle name="Normal 4 2" xfId="41"/>
    <cellStyle name="Normal 5" xfId="42"/>
    <cellStyle name="Normal 5 2" xfId="43"/>
    <cellStyle name="Normal 6" xfId="44"/>
    <cellStyle name="Normal 7" xfId="45"/>
    <cellStyle name="Normal 7 2" xfId="46"/>
    <cellStyle name="Normal 7 3" xfId="76"/>
    <cellStyle name="Normal 8" xfId="47"/>
    <cellStyle name="Normal 8 2" xfId="48"/>
    <cellStyle name="Normal 8 2 2" xfId="49"/>
    <cellStyle name="Normal 9" xfId="50"/>
    <cellStyle name="Normal 9 2" xfId="51"/>
    <cellStyle name="Normal 9 2 2" xfId="52"/>
    <cellStyle name="Normalno" xfId="0" builtinId="0"/>
    <cellStyle name="Normalno 2" xfId="53"/>
    <cellStyle name="Normalno 2 2" xfId="54"/>
    <cellStyle name="Normalno 3" xfId="55"/>
    <cellStyle name="Normalno 4" xfId="56"/>
    <cellStyle name="Normalno 9" xfId="57"/>
    <cellStyle name="Obično_Knjiga1 2" xfId="58"/>
    <cellStyle name="Percent [2]" xfId="59"/>
    <cellStyle name="Percent [2] 2" xfId="60"/>
    <cellStyle name="Percent 2" xfId="61"/>
    <cellStyle name="Percent 3" xfId="62"/>
    <cellStyle name="Percent 4" xfId="63"/>
    <cellStyle name="Percent 5" xfId="64"/>
    <cellStyle name="Percent 6" xfId="65"/>
    <cellStyle name="Standard_Anpassen der Amortisation" xfId="66"/>
    <cellStyle name="Sub-group Hdg" xfId="67"/>
    <cellStyle name="Sub-heading" xfId="68"/>
    <cellStyle name="Tusental (0)_pldt" xfId="69"/>
    <cellStyle name="Tusental_pldt" xfId="70"/>
    <cellStyle name="Valuta (0)_pldt" xfId="71"/>
    <cellStyle name="Währung [0]_Compiling Utility Macros" xfId="72"/>
    <cellStyle name="Währung_Compiling Utility Macros" xfId="73"/>
    <cellStyle name="Обычный_budget-Dec-01" xfId="74"/>
    <cellStyle name="Финансовый_MBCR Overseas-Revised" xfId="75"/>
  </cellStyles>
  <dxfs count="13">
    <dxf>
      <border>
        <left style="thin">
          <color auto="1"/>
        </left>
        <right style="thin">
          <color auto="1"/>
        </right>
        <top style="thin">
          <color auto="1"/>
        </top>
        <bottom style="thin">
          <color auto="1"/>
        </bottom>
        <vertical/>
        <horizontal/>
      </border>
    </dxf>
    <dxf>
      <font>
        <color auto="1"/>
      </font>
      <fill>
        <patternFill>
          <bgColor rgb="FFFF5050"/>
        </patternFill>
      </fill>
    </dxf>
    <dxf>
      <font>
        <color auto="1"/>
      </font>
      <fill>
        <patternFill>
          <bgColor rgb="FFFF5050"/>
        </patternFill>
      </fill>
    </dxf>
    <dxf>
      <font>
        <color auto="1"/>
      </font>
      <fill>
        <patternFill>
          <bgColor rgb="FFFF5050"/>
        </patternFill>
      </fill>
    </dxf>
    <dxf>
      <font>
        <color auto="1"/>
      </font>
      <fill>
        <patternFill>
          <bgColor rgb="FFFF5050"/>
        </patternFill>
      </fill>
    </dxf>
    <dxf>
      <font>
        <color auto="1"/>
      </font>
      <fill>
        <patternFill>
          <bgColor rgb="FFFF5050"/>
        </patternFill>
      </fill>
    </dxf>
    <dxf>
      <font>
        <color auto="1"/>
      </font>
      <fill>
        <patternFill>
          <bgColor rgb="FFFF5050"/>
        </patternFill>
      </fill>
    </dxf>
    <dxf>
      <font>
        <color auto="1"/>
      </font>
      <fill>
        <patternFill>
          <bgColor rgb="FFFF5050"/>
        </patternFill>
      </fill>
    </dxf>
    <dxf>
      <font>
        <color auto="1"/>
      </font>
      <fill>
        <patternFill>
          <bgColor rgb="FFFF5050"/>
        </patternFill>
      </fill>
    </dxf>
    <dxf>
      <font>
        <color auto="1"/>
      </font>
      <fill>
        <patternFill>
          <bgColor rgb="FFFF5050"/>
        </patternFill>
      </fill>
    </dxf>
    <dxf>
      <font>
        <color auto="1"/>
      </font>
      <fill>
        <patternFill>
          <bgColor rgb="FFFF5050"/>
        </patternFill>
      </fill>
    </dxf>
    <dxf>
      <font>
        <color auto="1"/>
      </font>
      <fill>
        <patternFill>
          <bgColor rgb="FFFF5050"/>
        </patternFill>
      </fill>
    </dxf>
    <dxf>
      <font>
        <color auto="1"/>
      </font>
      <fill>
        <patternFill>
          <bgColor rgb="FFFF5050"/>
        </patternFill>
      </fill>
    </dxf>
  </dxfs>
  <tableStyles count="0" defaultTableStyle="TableStyleMedium2" defaultPivotStyle="PivotStyleLight16"/>
  <colors>
    <mruColors>
      <color rgb="FFFF5050"/>
      <color rgb="FF008000"/>
      <color rgb="FF99FF99"/>
      <color rgb="FFCCFFCC"/>
      <color rgb="FF003300"/>
      <color rgb="FFE6DEE4"/>
      <color rgb="FFEBEB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lineChart>
        <c:grouping val="standard"/>
        <c:varyColors val="0"/>
        <c:ser>
          <c:idx val="0"/>
          <c:order val="0"/>
          <c:tx>
            <c:strRef>
              <c:f>Grafovi!$U$41</c:f>
              <c:strCache>
                <c:ptCount val="1"/>
                <c:pt idx="0">
                  <c:v>Primljeno</c:v>
                </c:pt>
              </c:strCache>
            </c:strRef>
          </c:tx>
          <c:spPr>
            <a:ln w="25400">
              <a:solidFill>
                <a:schemeClr val="accent1">
                  <a:lumMod val="50000"/>
                </a:schemeClr>
              </a:solidFill>
            </a:ln>
            <a:effectLst>
              <a:outerShdw blurRad="50800" dist="38100" dir="2700000" algn="tl" rotWithShape="0">
                <a:prstClr val="black">
                  <a:alpha val="40000"/>
                </a:prstClr>
              </a:outerShdw>
            </a:effectLst>
          </c:spPr>
          <c:marker>
            <c:symbol val="none"/>
          </c:marker>
          <c:cat>
            <c:strRef>
              <c:f>Grafovi!$S$46:$T$49</c:f>
              <c:strCache>
                <c:ptCount val="4"/>
                <c:pt idx="0">
                  <c:v>Q4 2016</c:v>
                </c:pt>
                <c:pt idx="1">
                  <c:v>Q3 2016</c:v>
                </c:pt>
                <c:pt idx="2">
                  <c:v>Q2 2016</c:v>
                </c:pt>
                <c:pt idx="3">
                  <c:v>Q1 2016</c:v>
                </c:pt>
              </c:strCache>
            </c:strRef>
          </c:cat>
          <c:val>
            <c:numRef>
              <c:f>Grafovi!$U$46:$U$49</c:f>
              <c:numCache>
                <c:formatCode>0</c:formatCode>
                <c:ptCount val="4"/>
                <c:pt idx="0">
                  <c:v>201181</c:v>
                </c:pt>
                <c:pt idx="1">
                  <c:v>189407</c:v>
                </c:pt>
                <c:pt idx="2">
                  <c:v>210085</c:v>
                </c:pt>
                <c:pt idx="3">
                  <c:v>203949</c:v>
                </c:pt>
              </c:numCache>
            </c:numRef>
          </c:val>
          <c:smooth val="0"/>
        </c:ser>
        <c:ser>
          <c:idx val="1"/>
          <c:order val="1"/>
          <c:tx>
            <c:strRef>
              <c:f>Grafovi!$V$41</c:f>
              <c:strCache>
                <c:ptCount val="1"/>
                <c:pt idx="0">
                  <c:v>Riješeno</c:v>
                </c:pt>
              </c:strCache>
            </c:strRef>
          </c:tx>
          <c:spPr>
            <a:ln w="25400"/>
            <a:effectLst>
              <a:outerShdw blurRad="50800" dist="38100" dir="2700000" algn="tl" rotWithShape="0">
                <a:prstClr val="black">
                  <a:alpha val="40000"/>
                </a:prstClr>
              </a:outerShdw>
            </a:effectLst>
          </c:spPr>
          <c:marker>
            <c:symbol val="none"/>
          </c:marker>
          <c:cat>
            <c:strRef>
              <c:f>Grafovi!$S$46:$T$49</c:f>
              <c:strCache>
                <c:ptCount val="4"/>
                <c:pt idx="0">
                  <c:v>Q4 2016</c:v>
                </c:pt>
                <c:pt idx="1">
                  <c:v>Q3 2016</c:v>
                </c:pt>
                <c:pt idx="2">
                  <c:v>Q2 2016</c:v>
                </c:pt>
                <c:pt idx="3">
                  <c:v>Q1 2016</c:v>
                </c:pt>
              </c:strCache>
            </c:strRef>
          </c:cat>
          <c:val>
            <c:numRef>
              <c:f>Grafovi!$V$46:$V$49</c:f>
              <c:numCache>
                <c:formatCode>0</c:formatCode>
                <c:ptCount val="4"/>
                <c:pt idx="0">
                  <c:v>213739</c:v>
                </c:pt>
                <c:pt idx="1">
                  <c:v>179391</c:v>
                </c:pt>
                <c:pt idx="2">
                  <c:v>202369</c:v>
                </c:pt>
                <c:pt idx="3">
                  <c:v>217910</c:v>
                </c:pt>
              </c:numCache>
            </c:numRef>
          </c:val>
          <c:smooth val="0"/>
        </c:ser>
        <c:ser>
          <c:idx val="2"/>
          <c:order val="2"/>
          <c:tx>
            <c:strRef>
              <c:f>Grafovi!$W$41</c:f>
              <c:strCache>
                <c:ptCount val="1"/>
                <c:pt idx="0">
                  <c:v>Neriješeno</c:v>
                </c:pt>
              </c:strCache>
            </c:strRef>
          </c:tx>
          <c:spPr>
            <a:ln w="25400"/>
            <a:effectLst>
              <a:outerShdw blurRad="50800" dist="38100" dir="2700000" algn="tl" rotWithShape="0">
                <a:prstClr val="black">
                  <a:alpha val="40000"/>
                </a:prstClr>
              </a:outerShdw>
            </a:effectLst>
          </c:spPr>
          <c:marker>
            <c:symbol val="none"/>
          </c:marker>
          <c:cat>
            <c:strRef>
              <c:f>Grafovi!$S$46:$T$49</c:f>
              <c:strCache>
                <c:ptCount val="4"/>
                <c:pt idx="0">
                  <c:v>Q4 2016</c:v>
                </c:pt>
                <c:pt idx="1">
                  <c:v>Q3 2016</c:v>
                </c:pt>
                <c:pt idx="2">
                  <c:v>Q2 2016</c:v>
                </c:pt>
                <c:pt idx="3">
                  <c:v>Q1 2016</c:v>
                </c:pt>
              </c:strCache>
            </c:strRef>
          </c:cat>
          <c:val>
            <c:numRef>
              <c:f>Grafovi!$W$46:$W$49</c:f>
              <c:numCache>
                <c:formatCode>0</c:formatCode>
                <c:ptCount val="4"/>
                <c:pt idx="0">
                  <c:v>289357</c:v>
                </c:pt>
                <c:pt idx="1">
                  <c:v>301985</c:v>
                </c:pt>
                <c:pt idx="2">
                  <c:v>288775</c:v>
                </c:pt>
                <c:pt idx="3">
                  <c:v>284642</c:v>
                </c:pt>
              </c:numCache>
            </c:numRef>
          </c:val>
          <c:smooth val="0"/>
        </c:ser>
        <c:dLbls>
          <c:showLegendKey val="0"/>
          <c:showVal val="0"/>
          <c:showCatName val="0"/>
          <c:showSerName val="0"/>
          <c:showPercent val="0"/>
          <c:showBubbleSize val="0"/>
        </c:dLbls>
        <c:marker val="1"/>
        <c:smooth val="0"/>
        <c:axId val="89953792"/>
        <c:axId val="89955712"/>
      </c:lineChart>
      <c:catAx>
        <c:axId val="89953792"/>
        <c:scaling>
          <c:orientation val="maxMin"/>
        </c:scaling>
        <c:delete val="0"/>
        <c:axPos val="b"/>
        <c:title>
          <c:tx>
            <c:rich>
              <a:bodyPr/>
              <a:lstStyle/>
              <a:p>
                <a:pPr>
                  <a:defRPr>
                    <a:solidFill>
                      <a:schemeClr val="tx1">
                        <a:lumMod val="65000"/>
                        <a:lumOff val="35000"/>
                      </a:schemeClr>
                    </a:solidFill>
                    <a:latin typeface="Arial" panose="020B0604020202020204" pitchFamily="34" charset="0"/>
                    <a:cs typeface="Arial" panose="020B0604020202020204" pitchFamily="34" charset="0"/>
                  </a:defRPr>
                </a:pPr>
                <a:r>
                  <a:rPr lang="hr-HR">
                    <a:solidFill>
                      <a:schemeClr val="tx1">
                        <a:lumMod val="65000"/>
                        <a:lumOff val="35000"/>
                      </a:schemeClr>
                    </a:solidFill>
                    <a:latin typeface="Arial" panose="020B0604020202020204" pitchFamily="34" charset="0"/>
                    <a:cs typeface="Arial" panose="020B0604020202020204" pitchFamily="34" charset="0"/>
                  </a:rPr>
                  <a:t>Kvartal</a:t>
                </a:r>
                <a:endParaRPr lang="en-GB">
                  <a:solidFill>
                    <a:schemeClr val="tx1">
                      <a:lumMod val="65000"/>
                      <a:lumOff val="35000"/>
                    </a:schemeClr>
                  </a:solidFill>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a:lstStyle/>
          <a:p>
            <a:pPr>
              <a:defRPr sz="800">
                <a:solidFill>
                  <a:schemeClr val="tx1">
                    <a:lumMod val="65000"/>
                    <a:lumOff val="35000"/>
                  </a:schemeClr>
                </a:solidFill>
                <a:latin typeface="Arial" panose="020B0604020202020204" pitchFamily="34" charset="0"/>
                <a:cs typeface="Arial" panose="020B0604020202020204" pitchFamily="34" charset="0"/>
              </a:defRPr>
            </a:pPr>
            <a:endParaRPr lang="sr-Latn-RS"/>
          </a:p>
        </c:txPr>
        <c:crossAx val="89955712"/>
        <c:crosses val="autoZero"/>
        <c:auto val="1"/>
        <c:lblAlgn val="ctr"/>
        <c:lblOffset val="100"/>
        <c:noMultiLvlLbl val="0"/>
      </c:catAx>
      <c:valAx>
        <c:axId val="89955712"/>
        <c:scaling>
          <c:orientation val="minMax"/>
        </c:scaling>
        <c:delete val="0"/>
        <c:axPos val="r"/>
        <c:majorGridlines>
          <c:spPr>
            <a:ln w="6350">
              <a:solidFill>
                <a:schemeClr val="tx1">
                  <a:tint val="75000"/>
                  <a:shade val="95000"/>
                  <a:satMod val="105000"/>
                  <a:alpha val="30000"/>
                </a:schemeClr>
              </a:solidFill>
            </a:ln>
          </c:spPr>
        </c:majorGridlines>
        <c:title>
          <c:tx>
            <c:rich>
              <a:bodyPr rot="-5400000" vert="horz"/>
              <a:lstStyle/>
              <a:p>
                <a:pPr>
                  <a:defRPr sz="800">
                    <a:solidFill>
                      <a:schemeClr val="tx1">
                        <a:lumMod val="65000"/>
                        <a:lumOff val="35000"/>
                      </a:schemeClr>
                    </a:solidFill>
                    <a:latin typeface="Arial" panose="020B0604020202020204" pitchFamily="34" charset="0"/>
                    <a:cs typeface="Arial" panose="020B0604020202020204" pitchFamily="34" charset="0"/>
                  </a:defRPr>
                </a:pPr>
                <a:r>
                  <a:rPr lang="hr-HR" sz="800">
                    <a:solidFill>
                      <a:schemeClr val="tx1">
                        <a:lumMod val="65000"/>
                        <a:lumOff val="35000"/>
                      </a:schemeClr>
                    </a:solidFill>
                    <a:latin typeface="Arial" panose="020B0604020202020204" pitchFamily="34" charset="0"/>
                    <a:cs typeface="Arial" panose="020B0604020202020204" pitchFamily="34" charset="0"/>
                  </a:rPr>
                  <a:t>Broj predmeta</a:t>
                </a:r>
                <a:endParaRPr lang="en-GB" sz="800">
                  <a:solidFill>
                    <a:schemeClr val="tx1">
                      <a:lumMod val="65000"/>
                      <a:lumOff val="35000"/>
                    </a:schemeClr>
                  </a:solidFill>
                  <a:latin typeface="Arial" panose="020B0604020202020204" pitchFamily="34" charset="0"/>
                  <a:cs typeface="Arial" panose="020B0604020202020204" pitchFamily="34" charset="0"/>
                </a:endParaRPr>
              </a:p>
            </c:rich>
          </c:tx>
          <c:overlay val="0"/>
        </c:title>
        <c:numFmt formatCode="0" sourceLinked="1"/>
        <c:majorTickMark val="out"/>
        <c:minorTickMark val="none"/>
        <c:tickLblPos val="nextTo"/>
        <c:txPr>
          <a:bodyPr/>
          <a:lstStyle/>
          <a:p>
            <a:pPr>
              <a:defRPr sz="800">
                <a:solidFill>
                  <a:schemeClr val="tx1">
                    <a:lumMod val="65000"/>
                    <a:lumOff val="35000"/>
                  </a:schemeClr>
                </a:solidFill>
                <a:latin typeface="Arial" panose="020B0604020202020204" pitchFamily="34" charset="0"/>
                <a:cs typeface="Arial" panose="020B0604020202020204" pitchFamily="34" charset="0"/>
              </a:defRPr>
            </a:pPr>
            <a:endParaRPr lang="sr-Latn-RS"/>
          </a:p>
        </c:txPr>
        <c:crossAx val="89953792"/>
        <c:crosses val="autoZero"/>
        <c:crossBetween val="between"/>
      </c:valAx>
      <c:spPr>
        <a:noFill/>
        <a:ln>
          <a:noFill/>
        </a:ln>
      </c:spPr>
    </c:plotArea>
    <c:legend>
      <c:legendPos val="l"/>
      <c:overlay val="0"/>
      <c:txPr>
        <a:bodyPr/>
        <a:lstStyle/>
        <a:p>
          <a:pPr>
            <a:defRPr sz="800">
              <a:solidFill>
                <a:schemeClr val="tx1">
                  <a:lumMod val="65000"/>
                  <a:lumOff val="35000"/>
                </a:schemeClr>
              </a:solidFill>
              <a:latin typeface="Arial" panose="020B0604020202020204" pitchFamily="34" charset="0"/>
              <a:cs typeface="Arial" panose="020B0604020202020204" pitchFamily="34" charset="0"/>
            </a:defRPr>
          </a:pPr>
          <a:endParaRPr lang="sr-Latn-RS"/>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22166411490230387"/>
          <c:y val="8.8761324189315038E-2"/>
          <c:w val="0.77833588509769613"/>
          <c:h val="0.88340818877716187"/>
        </c:manualLayout>
      </c:layout>
      <c:barChart>
        <c:barDir val="bar"/>
        <c:grouping val="clustered"/>
        <c:varyColors val="0"/>
        <c:ser>
          <c:idx val="0"/>
          <c:order val="0"/>
          <c:tx>
            <c:strRef>
              <c:f>Grafovi!$U$6</c:f>
              <c:strCache>
                <c:ptCount val="1"/>
                <c:pt idx="0">
                  <c:v>Clearance Rate (stopa rješavanja u %)</c:v>
                </c:pt>
              </c:strCache>
            </c:strRef>
          </c:tx>
          <c:spPr>
            <a:solidFill>
              <a:schemeClr val="tx2">
                <a:lumMod val="75000"/>
              </a:schemeClr>
            </a:solidFill>
            <a:effectLst>
              <a:outerShdw blurRad="50800" dist="38100" dir="2700000" algn="tl" rotWithShape="0">
                <a:prstClr val="black">
                  <a:alpha val="40000"/>
                </a:prstClr>
              </a:outerShdw>
            </a:effectLst>
          </c:spPr>
          <c:invertIfNegative val="0"/>
          <c:dLbls>
            <c:spPr>
              <a:noFill/>
              <a:ln>
                <a:noFill/>
              </a:ln>
              <a:effectLst/>
            </c:spPr>
            <c:txPr>
              <a:bodyPr/>
              <a:lstStyle/>
              <a:p>
                <a:pPr>
                  <a:defRPr sz="800" b="1">
                    <a:solidFill>
                      <a:schemeClr val="tx2">
                        <a:lumMod val="75000"/>
                      </a:schemeClr>
                    </a:solidFill>
                    <a:latin typeface="Arial" panose="020B0604020202020204" pitchFamily="34" charset="0"/>
                    <a:cs typeface="Arial" panose="020B0604020202020204" pitchFamily="34" charset="0"/>
                  </a:defRPr>
                </a:pPr>
                <a:endParaRPr lang="sr-Latn-R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Grafovi!lvl0_Axis_Titles</c:f>
              <c:strCache>
                <c:ptCount val="9"/>
                <c:pt idx="0">
                  <c:v>Općinski sudovi</c:v>
                </c:pt>
                <c:pt idx="1">
                  <c:v>Županijski sudovi</c:v>
                </c:pt>
                <c:pt idx="2">
                  <c:v>Trgovački sudovi</c:v>
                </c:pt>
                <c:pt idx="3">
                  <c:v>Upravni sudovi</c:v>
                </c:pt>
                <c:pt idx="4">
                  <c:v>Visoki trgovački sud RH</c:v>
                </c:pt>
                <c:pt idx="5">
                  <c:v>Visoki upravni sud RH</c:v>
                </c:pt>
                <c:pt idx="6">
                  <c:v>Vrhovni sud RH</c:v>
                </c:pt>
                <c:pt idx="7">
                  <c:v>Prekršajni sudovi</c:v>
                </c:pt>
                <c:pt idx="8">
                  <c:v>Visoki prekršajni sud RH</c:v>
                </c:pt>
              </c:strCache>
            </c:strRef>
          </c:cat>
          <c:val>
            <c:numRef>
              <c:f>Grafovi!lvl0_Series1</c:f>
              <c:numCache>
                <c:formatCode>0.0%</c:formatCode>
                <c:ptCount val="9"/>
                <c:pt idx="0">
                  <c:v>1.0624214016234137</c:v>
                </c:pt>
                <c:pt idx="1">
                  <c:v>1.0081790298761786</c:v>
                </c:pt>
                <c:pt idx="2">
                  <c:v>1.0358106850335072</c:v>
                </c:pt>
                <c:pt idx="3">
                  <c:v>1.1265822784810127</c:v>
                </c:pt>
                <c:pt idx="4">
                  <c:v>1.9092815941269008</c:v>
                </c:pt>
                <c:pt idx="5">
                  <c:v>0.95894160583941601</c:v>
                </c:pt>
                <c:pt idx="6">
                  <c:v>1.3150450064294898</c:v>
                </c:pt>
                <c:pt idx="7">
                  <c:v>1.1412905195664342</c:v>
                </c:pt>
                <c:pt idx="8">
                  <c:v>2.0970126270403449</c:v>
                </c:pt>
              </c:numCache>
            </c:numRef>
          </c:val>
        </c:ser>
        <c:dLbls>
          <c:showLegendKey val="0"/>
          <c:showVal val="0"/>
          <c:showCatName val="0"/>
          <c:showSerName val="0"/>
          <c:showPercent val="0"/>
          <c:showBubbleSize val="0"/>
        </c:dLbls>
        <c:gapWidth val="50"/>
        <c:axId val="95846784"/>
        <c:axId val="95848320"/>
      </c:barChart>
      <c:catAx>
        <c:axId val="95846784"/>
        <c:scaling>
          <c:orientation val="maxMin"/>
        </c:scaling>
        <c:delete val="0"/>
        <c:axPos val="l"/>
        <c:numFmt formatCode="General" sourceLinked="1"/>
        <c:majorTickMark val="out"/>
        <c:minorTickMark val="none"/>
        <c:tickLblPos val="nextTo"/>
        <c:txPr>
          <a:bodyPr/>
          <a:lstStyle/>
          <a:p>
            <a:pPr>
              <a:defRPr sz="800">
                <a:solidFill>
                  <a:schemeClr val="tx1">
                    <a:lumMod val="65000"/>
                    <a:lumOff val="35000"/>
                  </a:schemeClr>
                </a:solidFill>
                <a:latin typeface="Arial" panose="020B0604020202020204" pitchFamily="34" charset="0"/>
                <a:cs typeface="Arial" panose="020B0604020202020204" pitchFamily="34" charset="0"/>
              </a:defRPr>
            </a:pPr>
            <a:endParaRPr lang="sr-Latn-RS"/>
          </a:p>
        </c:txPr>
        <c:crossAx val="95848320"/>
        <c:crosses val="autoZero"/>
        <c:auto val="1"/>
        <c:lblAlgn val="ctr"/>
        <c:lblOffset val="100"/>
        <c:noMultiLvlLbl val="0"/>
      </c:catAx>
      <c:valAx>
        <c:axId val="95848320"/>
        <c:scaling>
          <c:orientation val="minMax"/>
        </c:scaling>
        <c:delete val="1"/>
        <c:axPos val="t"/>
        <c:majorGridlines>
          <c:spPr>
            <a:ln w="6350">
              <a:noFill/>
            </a:ln>
          </c:spPr>
        </c:majorGridlines>
        <c:numFmt formatCode="0%" sourceLinked="0"/>
        <c:majorTickMark val="out"/>
        <c:minorTickMark val="none"/>
        <c:tickLblPos val="nextTo"/>
        <c:crossAx val="95846784"/>
        <c:crosses val="autoZero"/>
        <c:crossBetween val="between"/>
      </c:valAx>
      <c:spPr>
        <a:solidFill>
          <a:schemeClr val="bg1">
            <a:lumMod val="95000"/>
          </a:schemeClr>
        </a:solidFill>
        <a:ln>
          <a:noFill/>
        </a:ln>
      </c:spPr>
    </c:plotArea>
    <c:legend>
      <c:legendPos val="t"/>
      <c:layout/>
      <c:overlay val="0"/>
      <c:txPr>
        <a:bodyPr/>
        <a:lstStyle/>
        <a:p>
          <a:pPr>
            <a:defRPr sz="800">
              <a:solidFill>
                <a:schemeClr val="tx1">
                  <a:lumMod val="65000"/>
                  <a:lumOff val="35000"/>
                </a:schemeClr>
              </a:solidFill>
              <a:latin typeface="Arial" panose="020B0604020202020204" pitchFamily="34" charset="0"/>
              <a:cs typeface="Arial" panose="020B0604020202020204" pitchFamily="34" charset="0"/>
            </a:defRPr>
          </a:pPr>
          <a:endParaRPr lang="sr-Latn-RS"/>
        </a:p>
      </c:txPr>
    </c:legend>
    <c:plotVisOnly val="1"/>
    <c:dispBlanksAs val="gap"/>
    <c:showDLblsOverMax val="0"/>
  </c:chart>
  <c:spPr>
    <a:solidFill>
      <a:schemeClr val="bg1">
        <a:lumMod val="95000"/>
      </a:schemeClr>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1.4322916666666666E-2"/>
          <c:y val="8.8761324189315038E-2"/>
          <c:w val="0.98567708333333337"/>
          <c:h val="0.88340818877716187"/>
        </c:manualLayout>
      </c:layout>
      <c:barChart>
        <c:barDir val="bar"/>
        <c:grouping val="clustered"/>
        <c:varyColors val="0"/>
        <c:ser>
          <c:idx val="0"/>
          <c:order val="0"/>
          <c:tx>
            <c:strRef>
              <c:f>Grafovi!$V$6</c:f>
              <c:strCache>
                <c:ptCount val="1"/>
                <c:pt idx="0">
                  <c:v>Disposition Time (vrijeme rješavanja u danima)</c:v>
                </c:pt>
              </c:strCache>
            </c:strRef>
          </c:tx>
          <c:spPr>
            <a:solidFill>
              <a:schemeClr val="accent1">
                <a:lumMod val="60000"/>
                <a:lumOff val="40000"/>
              </a:schemeClr>
            </a:solidFill>
            <a:effectLst>
              <a:outerShdw blurRad="50800" dist="38100" dir="2700000" algn="tl" rotWithShape="0">
                <a:prstClr val="black">
                  <a:alpha val="40000"/>
                </a:prstClr>
              </a:outerShdw>
            </a:effectLst>
          </c:spPr>
          <c:invertIfNegative val="0"/>
          <c:dLbls>
            <c:numFmt formatCode="0" sourceLinked="0"/>
            <c:spPr>
              <a:noFill/>
              <a:ln>
                <a:noFill/>
              </a:ln>
              <a:effectLst/>
            </c:spPr>
            <c:txPr>
              <a:bodyPr/>
              <a:lstStyle/>
              <a:p>
                <a:pPr>
                  <a:defRPr sz="800" b="1">
                    <a:solidFill>
                      <a:schemeClr val="tx2">
                        <a:lumMod val="60000"/>
                        <a:lumOff val="40000"/>
                      </a:schemeClr>
                    </a:solidFill>
                    <a:latin typeface="Arial" panose="020B0604020202020204" pitchFamily="34" charset="0"/>
                    <a:cs typeface="Arial" panose="020B0604020202020204" pitchFamily="34" charset="0"/>
                  </a:defRPr>
                </a:pPr>
                <a:endParaRPr lang="sr-Latn-R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Grafovi!lvl0_Axis_Titles</c:f>
              <c:strCache>
                <c:ptCount val="9"/>
                <c:pt idx="0">
                  <c:v>Općinski sudovi</c:v>
                </c:pt>
                <c:pt idx="1">
                  <c:v>Županijski sudovi</c:v>
                </c:pt>
                <c:pt idx="2">
                  <c:v>Trgovački sudovi</c:v>
                </c:pt>
                <c:pt idx="3">
                  <c:v>Upravni sudovi</c:v>
                </c:pt>
                <c:pt idx="4">
                  <c:v>Visoki trgovački sud RH</c:v>
                </c:pt>
                <c:pt idx="5">
                  <c:v>Visoki upravni sud RH</c:v>
                </c:pt>
                <c:pt idx="6">
                  <c:v>Vrhovni sud RH</c:v>
                </c:pt>
                <c:pt idx="7">
                  <c:v>Prekršajni sudovi</c:v>
                </c:pt>
                <c:pt idx="8">
                  <c:v>Visoki prekršajni sud RH</c:v>
                </c:pt>
              </c:strCache>
            </c:strRef>
          </c:cat>
          <c:val>
            <c:numRef>
              <c:f>Grafovi!lvl0_Series2</c:f>
              <c:numCache>
                <c:formatCode>0</c:formatCode>
                <c:ptCount val="9"/>
                <c:pt idx="0">
                  <c:v>123.53302976995307</c:v>
                </c:pt>
                <c:pt idx="1">
                  <c:v>189.4744131455399</c:v>
                </c:pt>
                <c:pt idx="2">
                  <c:v>79.31770189823655</c:v>
                </c:pt>
                <c:pt idx="3">
                  <c:v>334.26598448368111</c:v>
                </c:pt>
                <c:pt idx="4">
                  <c:v>405.85072782202695</c:v>
                </c:pt>
                <c:pt idx="5">
                  <c:v>122.59276879162702</c:v>
                </c:pt>
                <c:pt idx="6">
                  <c:v>508.71577574967409</c:v>
                </c:pt>
                <c:pt idx="7">
                  <c:v>114.9784583658455</c:v>
                </c:pt>
                <c:pt idx="8">
                  <c:v>277.04673960934059</c:v>
                </c:pt>
              </c:numCache>
            </c:numRef>
          </c:val>
        </c:ser>
        <c:dLbls>
          <c:showLegendKey val="0"/>
          <c:showVal val="0"/>
          <c:showCatName val="0"/>
          <c:showSerName val="0"/>
          <c:showPercent val="0"/>
          <c:showBubbleSize val="0"/>
        </c:dLbls>
        <c:gapWidth val="50"/>
        <c:axId val="96082176"/>
        <c:axId val="96092160"/>
      </c:barChart>
      <c:catAx>
        <c:axId val="96082176"/>
        <c:scaling>
          <c:orientation val="maxMin"/>
        </c:scaling>
        <c:delete val="1"/>
        <c:axPos val="l"/>
        <c:numFmt formatCode="General" sourceLinked="1"/>
        <c:majorTickMark val="out"/>
        <c:minorTickMark val="none"/>
        <c:tickLblPos val="nextTo"/>
        <c:crossAx val="96092160"/>
        <c:crosses val="autoZero"/>
        <c:auto val="1"/>
        <c:lblAlgn val="ctr"/>
        <c:lblOffset val="100"/>
        <c:noMultiLvlLbl val="0"/>
      </c:catAx>
      <c:valAx>
        <c:axId val="96092160"/>
        <c:scaling>
          <c:orientation val="minMax"/>
        </c:scaling>
        <c:delete val="1"/>
        <c:axPos val="t"/>
        <c:majorGridlines>
          <c:spPr>
            <a:ln w="6350">
              <a:noFill/>
            </a:ln>
          </c:spPr>
        </c:majorGridlines>
        <c:numFmt formatCode="0%" sourceLinked="0"/>
        <c:majorTickMark val="out"/>
        <c:minorTickMark val="none"/>
        <c:tickLblPos val="nextTo"/>
        <c:crossAx val="96082176"/>
        <c:crosses val="autoZero"/>
        <c:crossBetween val="between"/>
      </c:valAx>
      <c:spPr>
        <a:solidFill>
          <a:schemeClr val="bg1">
            <a:lumMod val="95000"/>
          </a:schemeClr>
        </a:solidFill>
        <a:ln>
          <a:noFill/>
        </a:ln>
      </c:spPr>
    </c:plotArea>
    <c:legend>
      <c:legendPos val="t"/>
      <c:layout/>
      <c:overlay val="0"/>
      <c:txPr>
        <a:bodyPr/>
        <a:lstStyle/>
        <a:p>
          <a:pPr>
            <a:defRPr sz="800">
              <a:solidFill>
                <a:schemeClr val="tx1">
                  <a:lumMod val="65000"/>
                  <a:lumOff val="35000"/>
                </a:schemeClr>
              </a:solidFill>
              <a:latin typeface="Arial" panose="020B0604020202020204" pitchFamily="34" charset="0"/>
              <a:cs typeface="Arial" panose="020B0604020202020204" pitchFamily="34" charset="0"/>
            </a:defRPr>
          </a:pPr>
          <a:endParaRPr lang="sr-Latn-RS"/>
        </a:p>
      </c:txPr>
    </c:legend>
    <c:plotVisOnly val="1"/>
    <c:dispBlanksAs val="gap"/>
    <c:showDLblsOverMax val="0"/>
  </c:chart>
  <c:spPr>
    <a:solidFill>
      <a:schemeClr val="bg1">
        <a:lumMod val="95000"/>
      </a:schemeClr>
    </a:solidFill>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Drop" dropLines="2" dropStyle="combo" dx="16" fmlaLink="Options!$D$2" fmlaRange="Options!$C$6:$D$7" val="0"/>
</file>

<file path=xl/ctrlProps/ctrlProp2.xml><?xml version="1.0" encoding="utf-8"?>
<formControlPr xmlns="http://schemas.microsoft.com/office/spreadsheetml/2009/9/main" objectType="Drop" dropLines="5" dropStyle="combo" dx="16" fmlaLink="Options!$O$2" fmlaRange="Options!$N$7:$O$11" sel="2" val="0"/>
</file>

<file path=xl/ctrlProps/ctrlProp3.xml><?xml version="1.0" encoding="utf-8"?>
<formControlPr xmlns="http://schemas.microsoft.com/office/spreadsheetml/2009/9/main" objectType="Drop" dropLines="9" dropStyle="combo" dx="16" fmlaLink="Options!$D$9" fmlaRange="Translation!lvl1_Data_Picker" val="0"/>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narodne-novine.nn.hr/default.aspx" TargetMode="External"/><Relationship Id="rId1" Type="http://schemas.openxmlformats.org/officeDocument/2006/relationships/image" Target="../media/image1.jpeg"/><Relationship Id="rId4" Type="http://schemas.openxmlformats.org/officeDocument/2006/relationships/hyperlink" Target="http://www.coe.int/CEPEJ"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38101</xdr:colOff>
      <xdr:row>0</xdr:row>
      <xdr:rowOff>190501</xdr:rowOff>
    </xdr:from>
    <xdr:to>
      <xdr:col>1</xdr:col>
      <xdr:colOff>2495550</xdr:colOff>
      <xdr:row>0</xdr:row>
      <xdr:rowOff>802440</xdr:rowOff>
    </xdr:to>
    <xdr:pic>
      <xdr:nvPicPr>
        <xdr:cNvPr id="3"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190501"/>
          <a:ext cx="2457449" cy="611939"/>
        </a:xfrm>
        <a:prstGeom prst="rect">
          <a:avLst/>
        </a:prstGeom>
      </xdr:spPr>
    </xdr:pic>
    <xdr:clientData/>
  </xdr:twoCellAnchor>
  <xdr:twoCellAnchor editAs="oneCell">
    <xdr:from>
      <xdr:col>1</xdr:col>
      <xdr:colOff>2379244</xdr:colOff>
      <xdr:row>10</xdr:row>
      <xdr:rowOff>238125</xdr:rowOff>
    </xdr:from>
    <xdr:to>
      <xdr:col>1</xdr:col>
      <xdr:colOff>2617369</xdr:colOff>
      <xdr:row>10</xdr:row>
      <xdr:rowOff>419100</xdr:rowOff>
    </xdr:to>
    <xdr:pic>
      <xdr:nvPicPr>
        <xdr:cNvPr id="4" name="NN Link">
          <a:hlinkClick xmlns:r="http://schemas.openxmlformats.org/officeDocument/2006/relationships" r:id="rId2" tooltip="Narodne-Novine"/>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60219" y="3267075"/>
          <a:ext cx="238125" cy="180975"/>
        </a:xfrm>
        <a:prstGeom prst="rect">
          <a:avLst/>
        </a:prstGeom>
      </xdr:spPr>
    </xdr:pic>
    <xdr:clientData fPrintsWithSheet="0"/>
  </xdr:twoCellAnchor>
  <xdr:twoCellAnchor editAs="oneCell">
    <xdr:from>
      <xdr:col>4</xdr:col>
      <xdr:colOff>171450</xdr:colOff>
      <xdr:row>16</xdr:row>
      <xdr:rowOff>180975</xdr:rowOff>
    </xdr:from>
    <xdr:to>
      <xdr:col>4</xdr:col>
      <xdr:colOff>409575</xdr:colOff>
      <xdr:row>16</xdr:row>
      <xdr:rowOff>361950</xdr:rowOff>
    </xdr:to>
    <xdr:pic>
      <xdr:nvPicPr>
        <xdr:cNvPr id="5" name="CEPEJ Link">
          <a:hlinkClick xmlns:r="http://schemas.openxmlformats.org/officeDocument/2006/relationships" r:id="rId4" tooltip="CEPEJ"/>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43725" y="4657725"/>
          <a:ext cx="238125" cy="180975"/>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36</xdr:row>
      <xdr:rowOff>152400</xdr:rowOff>
    </xdr:from>
    <xdr:to>
      <xdr:col>17</xdr:col>
      <xdr:colOff>0</xdr:colOff>
      <xdr:row>69</xdr:row>
      <xdr:rowOff>161924</xdr:rowOff>
    </xdr:to>
    <xdr:grpSp>
      <xdr:nvGrpSpPr>
        <xdr:cNvPr id="9" name="Level1"/>
        <xdr:cNvGrpSpPr/>
      </xdr:nvGrpSpPr>
      <xdr:grpSpPr>
        <a:xfrm>
          <a:off x="154781" y="6569869"/>
          <a:ext cx="9715500" cy="6117430"/>
          <a:chOff x="152400" y="6619875"/>
          <a:chExt cx="9753600" cy="5972174"/>
        </a:xfrm>
      </xdr:grpSpPr>
      <mc:AlternateContent xmlns:mc="http://schemas.openxmlformats.org/markup-compatibility/2006">
        <mc:Choice xmlns:a14="http://schemas.microsoft.com/office/drawing/2010/main" Requires="a14">
          <xdr:sp macro="" textlink="">
            <xdr:nvSpPr>
              <xdr:cNvPr id="5126" name="Court/Category Picker" hidden="1">
                <a:extLst>
                  <a:ext uri="{63B3BB69-23CF-44E3-9099-C40C66FF867C}">
                    <a14:compatExt spid="_x0000_s5126"/>
                  </a:ext>
                </a:extLst>
              </xdr:cNvPr>
              <xdr:cNvSpPr/>
            </xdr:nvSpPr>
            <xdr:spPr>
              <a:xfrm>
                <a:off x="1981200" y="6619875"/>
                <a:ext cx="2114550" cy="208800"/>
              </a:xfrm>
              <a:prstGeom prst="rect">
                <a:avLst/>
              </a:prstGeom>
            </xdr:spPr>
          </xdr:sp>
        </mc:Choice>
        <mc:Fallback/>
      </mc:AlternateContent>
      <xdr:graphicFrame macro="">
        <xdr:nvGraphicFramePr>
          <xdr:cNvPr id="8" name="Charts Level 1 Trending"/>
          <xdr:cNvGraphicFramePr/>
        </xdr:nvGraphicFramePr>
        <xdr:xfrm>
          <a:off x="152400" y="7572374"/>
          <a:ext cx="9753600" cy="5019675"/>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xdr:col>
      <xdr:colOff>0</xdr:colOff>
      <xdr:row>1</xdr:row>
      <xdr:rowOff>152399</xdr:rowOff>
    </xdr:from>
    <xdr:to>
      <xdr:col>17</xdr:col>
      <xdr:colOff>0</xdr:colOff>
      <xdr:row>35</xdr:row>
      <xdr:rowOff>0</xdr:rowOff>
    </xdr:to>
    <xdr:grpSp>
      <xdr:nvGrpSpPr>
        <xdr:cNvPr id="12" name="Level0"/>
        <xdr:cNvGrpSpPr/>
      </xdr:nvGrpSpPr>
      <xdr:grpSpPr>
        <a:xfrm>
          <a:off x="154781" y="223837"/>
          <a:ext cx="9715500" cy="6122194"/>
          <a:chOff x="152400" y="323849"/>
          <a:chExt cx="9753600" cy="5972176"/>
        </a:xfrm>
      </xdr:grpSpPr>
      <mc:AlternateContent xmlns:mc="http://schemas.openxmlformats.org/markup-compatibility/2006">
        <mc:Choice xmlns:a14="http://schemas.microsoft.com/office/drawing/2010/main" Requires="a14">
          <xdr:sp macro="" textlink="">
            <xdr:nvSpPr>
              <xdr:cNvPr id="5122" name="Category_Picker" hidden="1">
                <a:extLst>
                  <a:ext uri="{63B3BB69-23CF-44E3-9099-C40C66FF867C}">
                    <a14:compatExt spid="_x0000_s5122"/>
                  </a:ext>
                </a:extLst>
              </xdr:cNvPr>
              <xdr:cNvSpPr/>
            </xdr:nvSpPr>
            <xdr:spPr>
              <a:xfrm>
                <a:off x="1981200" y="323850"/>
                <a:ext cx="1419225" cy="2095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123" name="Quarter_Picker" hidden="1">
                <a:extLst>
                  <a:ext uri="{63B3BB69-23CF-44E3-9099-C40C66FF867C}">
                    <a14:compatExt spid="_x0000_s5123"/>
                  </a:ext>
                </a:extLst>
              </xdr:cNvPr>
              <xdr:cNvSpPr/>
            </xdr:nvSpPr>
            <xdr:spPr>
              <a:xfrm>
                <a:off x="3810001" y="323849"/>
                <a:ext cx="1390650" cy="208800"/>
              </a:xfrm>
              <a:prstGeom prst="rect">
                <a:avLst/>
              </a:prstGeom>
            </xdr:spPr>
          </xdr:sp>
        </mc:Choice>
        <mc:Fallback/>
      </mc:AlternateContent>
      <xdr:grpSp>
        <xdr:nvGrpSpPr>
          <xdr:cNvPr id="4" name="Charts Level 0 Indicators"/>
          <xdr:cNvGrpSpPr/>
        </xdr:nvGrpSpPr>
        <xdr:grpSpPr>
          <a:xfrm>
            <a:off x="152400" y="1276350"/>
            <a:ext cx="9753600" cy="5019675"/>
            <a:chOff x="304800" y="1009650"/>
            <a:chExt cx="9753600" cy="5019675"/>
          </a:xfrm>
        </xdr:grpSpPr>
        <xdr:graphicFrame macro="">
          <xdr:nvGraphicFramePr>
            <xdr:cNvPr id="2" name="Cr"/>
            <xdr:cNvGraphicFramePr/>
          </xdr:nvGraphicFramePr>
          <xdr:xfrm>
            <a:off x="304800" y="1009650"/>
            <a:ext cx="5486400" cy="5019675"/>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3" name="Dt"/>
            <xdr:cNvGraphicFramePr>
              <a:graphicFrameLocks/>
            </xdr:cNvGraphicFramePr>
          </xdr:nvGraphicFramePr>
          <xdr:xfrm>
            <a:off x="5791200" y="1009650"/>
            <a:ext cx="4267200" cy="5019675"/>
          </xdr:xfrm>
          <a:graphic>
            <a:graphicData uri="http://schemas.openxmlformats.org/drawingml/2006/chart">
              <c:chart xmlns:c="http://schemas.openxmlformats.org/drawingml/2006/chart" xmlns:r="http://schemas.openxmlformats.org/officeDocument/2006/relationships" r:id="rId3"/>
            </a:graphicData>
          </a:graphic>
        </xdr:graphicFrame>
      </xdr:grpSp>
    </xdr:grp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M25"/>
  <sheetViews>
    <sheetView showGridLines="0" showRowColHeaders="0" zoomScaleNormal="100" zoomScaleSheetLayoutView="110" workbookViewId="0">
      <selection activeCell="E8" sqref="E8"/>
    </sheetView>
  </sheetViews>
  <sheetFormatPr defaultRowHeight="15"/>
  <cols>
    <col min="1" max="1" width="2.7109375" style="29" customWidth="1"/>
    <col min="2" max="2" width="80.5703125" style="29" bestFit="1" customWidth="1"/>
    <col min="3" max="7" width="9.140625" style="29"/>
    <col min="8" max="8" width="4.7109375" style="29" customWidth="1"/>
    <col min="9" max="16384" width="9.140625" style="29"/>
  </cols>
  <sheetData>
    <row r="1" spans="2:13" ht="82.5" customHeight="1">
      <c r="E1" s="141" t="s">
        <v>176</v>
      </c>
    </row>
    <row r="2" spans="2:13">
      <c r="B2" s="61" t="s">
        <v>93</v>
      </c>
      <c r="C2" s="62"/>
      <c r="D2" s="62"/>
      <c r="E2" s="62"/>
      <c r="F2" s="62"/>
      <c r="G2" s="62"/>
    </row>
    <row r="3" spans="2:13" ht="25.5">
      <c r="B3" s="63" t="s">
        <v>94</v>
      </c>
      <c r="C3" s="60"/>
      <c r="D3" s="60"/>
      <c r="E3" s="60"/>
      <c r="F3" s="60"/>
      <c r="G3" s="60"/>
      <c r="H3" s="58"/>
      <c r="M3" s="140"/>
    </row>
    <row r="4" spans="2:13" ht="25.5">
      <c r="B4" s="63" t="s">
        <v>175</v>
      </c>
      <c r="C4" s="60"/>
      <c r="D4" s="60"/>
      <c r="E4" s="60"/>
      <c r="F4" s="60"/>
      <c r="G4" s="60"/>
      <c r="H4" s="58"/>
    </row>
    <row r="5" spans="2:13">
      <c r="B5" s="63" t="s">
        <v>95</v>
      </c>
      <c r="C5" s="60"/>
      <c r="D5" s="60"/>
      <c r="E5" s="60"/>
      <c r="F5" s="60"/>
      <c r="G5" s="60"/>
      <c r="H5" s="58"/>
    </row>
    <row r="6" spans="2:13">
      <c r="B6" s="63" t="s">
        <v>96</v>
      </c>
      <c r="C6" s="60"/>
      <c r="D6" s="60"/>
      <c r="E6" s="60"/>
      <c r="F6" s="60"/>
      <c r="G6" s="60"/>
      <c r="H6" s="58"/>
    </row>
    <row r="7" spans="2:13" ht="25.5">
      <c r="B7" s="63" t="s">
        <v>97</v>
      </c>
      <c r="C7" s="60"/>
      <c r="D7" s="60"/>
      <c r="E7" s="60"/>
      <c r="F7" s="60"/>
      <c r="G7" s="60"/>
      <c r="H7" s="58"/>
    </row>
    <row r="8" spans="2:13">
      <c r="B8" s="63" t="s">
        <v>173</v>
      </c>
      <c r="C8" s="60"/>
      <c r="D8" s="60"/>
      <c r="E8" s="60"/>
      <c r="F8" s="60"/>
      <c r="G8" s="60"/>
      <c r="H8" s="58"/>
    </row>
    <row r="9" spans="2:13">
      <c r="B9" s="64"/>
      <c r="C9" s="62"/>
      <c r="D9" s="62"/>
      <c r="E9" s="62"/>
      <c r="F9" s="62"/>
      <c r="G9" s="62"/>
    </row>
    <row r="10" spans="2:13">
      <c r="B10" s="59" t="s">
        <v>98</v>
      </c>
      <c r="C10" s="60"/>
      <c r="D10" s="60"/>
      <c r="E10" s="60"/>
      <c r="F10" s="60"/>
      <c r="G10" s="60"/>
    </row>
    <row r="11" spans="2:13" ht="39" customHeight="1">
      <c r="B11" s="166" t="s">
        <v>102</v>
      </c>
      <c r="C11" s="166"/>
      <c r="D11" s="166"/>
      <c r="E11" s="166"/>
      <c r="F11" s="166"/>
      <c r="G11" s="166"/>
    </row>
    <row r="12" spans="2:13">
      <c r="B12" s="30"/>
      <c r="C12" s="60"/>
      <c r="D12" s="60"/>
      <c r="E12" s="60"/>
      <c r="F12" s="60"/>
      <c r="G12" s="60"/>
    </row>
    <row r="13" spans="2:13">
      <c r="B13" s="30"/>
      <c r="C13" s="60"/>
      <c r="D13" s="60"/>
      <c r="E13" s="60"/>
      <c r="F13" s="60"/>
      <c r="G13" s="60"/>
    </row>
    <row r="14" spans="2:13">
      <c r="B14" s="60"/>
      <c r="C14" s="60"/>
      <c r="D14" s="60"/>
      <c r="E14" s="60"/>
      <c r="F14" s="60"/>
      <c r="G14" s="60"/>
    </row>
    <row r="15" spans="2:13">
      <c r="B15" s="61" t="s">
        <v>99</v>
      </c>
      <c r="C15" s="60"/>
      <c r="D15" s="60"/>
      <c r="E15" s="60"/>
      <c r="F15" s="60"/>
      <c r="G15" s="60"/>
    </row>
    <row r="16" spans="2:13" ht="15" customHeight="1">
      <c r="B16" s="167" t="s">
        <v>150</v>
      </c>
      <c r="C16" s="167"/>
      <c r="D16" s="167"/>
      <c r="E16" s="167"/>
      <c r="F16" s="167"/>
      <c r="G16" s="167"/>
    </row>
    <row r="17" spans="2:7" ht="32.25" customHeight="1">
      <c r="B17" s="167"/>
      <c r="C17" s="167"/>
      <c r="D17" s="167"/>
      <c r="E17" s="167"/>
      <c r="F17" s="167"/>
      <c r="G17" s="167"/>
    </row>
    <row r="18" spans="2:7">
      <c r="B18" s="60"/>
      <c r="C18" s="60"/>
      <c r="D18" s="60"/>
      <c r="E18" s="60"/>
      <c r="F18" s="60"/>
      <c r="G18" s="60"/>
    </row>
    <row r="19" spans="2:7">
      <c r="B19" s="167" t="s">
        <v>100</v>
      </c>
      <c r="C19" s="167"/>
      <c r="D19" s="167"/>
      <c r="E19" s="167"/>
      <c r="F19" s="167"/>
      <c r="G19" s="167"/>
    </row>
    <row r="20" spans="2:7" ht="12.75" customHeight="1">
      <c r="B20" s="167"/>
      <c r="C20" s="167"/>
      <c r="D20" s="167"/>
      <c r="E20" s="167"/>
      <c r="F20" s="167"/>
      <c r="G20" s="167"/>
    </row>
    <row r="21" spans="2:7">
      <c r="B21" s="60"/>
      <c r="C21" s="60"/>
      <c r="D21" s="60"/>
      <c r="E21" s="60"/>
      <c r="F21" s="60"/>
      <c r="G21" s="60"/>
    </row>
    <row r="22" spans="2:7">
      <c r="B22" s="167" t="s">
        <v>101</v>
      </c>
      <c r="C22" s="167"/>
      <c r="D22" s="167"/>
      <c r="E22" s="167"/>
      <c r="F22" s="167"/>
      <c r="G22" s="167"/>
    </row>
    <row r="23" spans="2:7" ht="28.5" customHeight="1">
      <c r="B23" s="167"/>
      <c r="C23" s="167"/>
      <c r="D23" s="167"/>
      <c r="E23" s="167"/>
      <c r="F23" s="167"/>
      <c r="G23" s="167"/>
    </row>
    <row r="25" spans="2:7">
      <c r="B25" s="28"/>
    </row>
  </sheetData>
  <sheetProtection selectLockedCells="1"/>
  <mergeCells count="4">
    <mergeCell ref="B11:G11"/>
    <mergeCell ref="B16:G17"/>
    <mergeCell ref="B19:G20"/>
    <mergeCell ref="B22:G23"/>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X77"/>
  <sheetViews>
    <sheetView showGridLines="0" showRowColHeaders="0" topLeftCell="A16" zoomScaleNormal="100" workbookViewId="0">
      <selection activeCell="L33" sqref="L33"/>
    </sheetView>
  </sheetViews>
  <sheetFormatPr defaultRowHeight="12.75"/>
  <cols>
    <col min="1" max="1" width="2.28515625" style="2" customWidth="1"/>
    <col min="2" max="2" width="22.5703125" style="2" bestFit="1" customWidth="1"/>
    <col min="3" max="3" width="30.42578125" style="2" bestFit="1" customWidth="1"/>
    <col min="4" max="4" width="2.28515625" style="4" customWidth="1"/>
    <col min="5" max="5" width="29.28515625" style="2" customWidth="1"/>
    <col min="6" max="6" width="25.85546875" style="2" bestFit="1" customWidth="1"/>
    <col min="7" max="7" width="7.5703125" style="3" customWidth="1"/>
    <col min="8" max="16384" width="9.140625" style="2"/>
  </cols>
  <sheetData>
    <row r="2" spans="2:7" ht="58.5" customHeight="1">
      <c r="B2" s="174" t="s">
        <v>153</v>
      </c>
      <c r="C2" s="174"/>
      <c r="D2" s="174"/>
      <c r="E2" s="174"/>
      <c r="F2" s="174"/>
      <c r="G2" s="2"/>
    </row>
    <row r="3" spans="2:7" ht="15" customHeight="1">
      <c r="B3" s="184" t="s">
        <v>71</v>
      </c>
      <c r="C3" s="184"/>
      <c r="D3" s="5"/>
      <c r="E3" s="184" t="s">
        <v>72</v>
      </c>
      <c r="F3" s="184"/>
      <c r="G3" s="2"/>
    </row>
    <row r="4" spans="2:7" ht="15" customHeight="1">
      <c r="C4" s="6"/>
      <c r="D4" s="5"/>
      <c r="E4" s="6"/>
    </row>
    <row r="5" spans="2:7" ht="15" customHeight="1">
      <c r="B5" s="168" t="s">
        <v>12</v>
      </c>
      <c r="C5" s="8" t="s">
        <v>13</v>
      </c>
      <c r="D5" s="9"/>
      <c r="E5" s="10" t="s">
        <v>62</v>
      </c>
      <c r="F5" s="11" t="s">
        <v>73</v>
      </c>
      <c r="G5" s="7"/>
    </row>
    <row r="6" spans="2:7" ht="15" customHeight="1">
      <c r="B6" s="169"/>
      <c r="C6" s="8" t="s">
        <v>14</v>
      </c>
      <c r="D6" s="9"/>
      <c r="E6" s="185" t="s">
        <v>63</v>
      </c>
      <c r="F6" s="12" t="s">
        <v>17</v>
      </c>
      <c r="G6" s="7"/>
    </row>
    <row r="7" spans="2:7" ht="15" customHeight="1">
      <c r="B7" s="169"/>
      <c r="C7" s="8" t="s">
        <v>74</v>
      </c>
      <c r="D7" s="9"/>
      <c r="E7" s="186"/>
      <c r="F7" s="12" t="s">
        <v>19</v>
      </c>
      <c r="G7" s="7"/>
    </row>
    <row r="8" spans="2:7" ht="15" customHeight="1">
      <c r="B8" s="169"/>
      <c r="C8" s="13" t="s">
        <v>16</v>
      </c>
      <c r="D8" s="14"/>
      <c r="E8" s="186"/>
      <c r="F8" s="12" t="s">
        <v>20</v>
      </c>
      <c r="G8" s="7"/>
    </row>
    <row r="9" spans="2:7" ht="15" customHeight="1">
      <c r="B9" s="169"/>
      <c r="C9" s="8" t="s">
        <v>17</v>
      </c>
      <c r="D9" s="9"/>
      <c r="E9" s="186"/>
      <c r="F9" s="12" t="s">
        <v>21</v>
      </c>
      <c r="G9" s="7"/>
    </row>
    <row r="10" spans="2:7" ht="15" customHeight="1">
      <c r="B10" s="169"/>
      <c r="C10" s="8" t="s">
        <v>18</v>
      </c>
      <c r="D10" s="9"/>
      <c r="E10" s="187"/>
      <c r="F10" s="12" t="s">
        <v>22</v>
      </c>
      <c r="G10" s="7"/>
    </row>
    <row r="11" spans="2:7" ht="15" customHeight="1">
      <c r="B11" s="169"/>
      <c r="C11" s="164" t="s">
        <v>170</v>
      </c>
      <c r="D11" s="9"/>
      <c r="E11" s="15" t="s">
        <v>65</v>
      </c>
      <c r="F11" s="12" t="s">
        <v>18</v>
      </c>
      <c r="G11" s="7"/>
    </row>
    <row r="12" spans="2:7" ht="15" customHeight="1">
      <c r="B12" s="169"/>
      <c r="C12" s="8" t="s">
        <v>19</v>
      </c>
      <c r="D12" s="9"/>
      <c r="E12" s="15" t="s">
        <v>68</v>
      </c>
      <c r="F12" s="12" t="s">
        <v>23</v>
      </c>
      <c r="G12" s="7"/>
    </row>
    <row r="13" spans="2:7" ht="15" customHeight="1">
      <c r="B13" s="169"/>
      <c r="C13" s="8" t="s">
        <v>20</v>
      </c>
      <c r="D13" s="9"/>
      <c r="E13" s="16"/>
      <c r="F13" s="17"/>
    </row>
    <row r="14" spans="2:7" ht="15" customHeight="1">
      <c r="B14" s="169"/>
      <c r="C14" s="8" t="s">
        <v>21</v>
      </c>
      <c r="D14" s="9"/>
      <c r="E14" s="16"/>
      <c r="F14" s="17"/>
    </row>
    <row r="15" spans="2:7" ht="15" customHeight="1">
      <c r="B15" s="169"/>
      <c r="C15" s="8" t="s">
        <v>22</v>
      </c>
      <c r="D15" s="9"/>
      <c r="E15" s="16"/>
      <c r="F15" s="17"/>
      <c r="G15" s="18"/>
    </row>
    <row r="16" spans="2:7" ht="15" customHeight="1">
      <c r="B16" s="169"/>
      <c r="C16" s="8" t="s">
        <v>23</v>
      </c>
      <c r="G16" s="18"/>
    </row>
    <row r="17" spans="2:7" ht="15" customHeight="1">
      <c r="G17" s="18"/>
    </row>
    <row r="18" spans="2:7" ht="15" customHeight="1">
      <c r="B18" s="168" t="s">
        <v>25</v>
      </c>
      <c r="C18" s="8" t="s">
        <v>15</v>
      </c>
      <c r="D18" s="9"/>
      <c r="E18" s="171" t="s">
        <v>62</v>
      </c>
      <c r="F18" s="13" t="s">
        <v>73</v>
      </c>
      <c r="G18" s="18"/>
    </row>
    <row r="19" spans="2:7" ht="15" customHeight="1">
      <c r="B19" s="169"/>
      <c r="C19" s="8" t="s">
        <v>26</v>
      </c>
      <c r="D19" s="9"/>
      <c r="E19" s="172"/>
      <c r="F19" s="12" t="s">
        <v>27</v>
      </c>
      <c r="G19" s="18"/>
    </row>
    <row r="20" spans="2:7" ht="15" customHeight="1">
      <c r="B20" s="169"/>
      <c r="C20" s="13" t="s">
        <v>16</v>
      </c>
      <c r="D20" s="14"/>
      <c r="E20" s="172"/>
      <c r="F20" s="12" t="s">
        <v>30</v>
      </c>
      <c r="G20" s="18"/>
    </row>
    <row r="21" spans="2:7" ht="15" customHeight="1">
      <c r="B21" s="169"/>
      <c r="C21" s="8" t="s">
        <v>27</v>
      </c>
      <c r="D21" s="9"/>
      <c r="E21" s="172"/>
      <c r="F21" s="12" t="s">
        <v>75</v>
      </c>
      <c r="G21" s="18"/>
    </row>
    <row r="22" spans="2:7" ht="15" customHeight="1">
      <c r="B22" s="169"/>
      <c r="C22" s="8" t="s">
        <v>28</v>
      </c>
      <c r="D22" s="9"/>
      <c r="E22" s="173"/>
      <c r="F22" s="12" t="s">
        <v>32</v>
      </c>
      <c r="G22" s="18"/>
    </row>
    <row r="23" spans="2:7" ht="15" customHeight="1">
      <c r="B23" s="169"/>
      <c r="C23" s="8" t="s">
        <v>29</v>
      </c>
      <c r="D23" s="9"/>
      <c r="E23" s="15" t="s">
        <v>63</v>
      </c>
      <c r="F23" s="13" t="s">
        <v>36</v>
      </c>
      <c r="G23" s="18"/>
    </row>
    <row r="24" spans="2:7" ht="15" customHeight="1">
      <c r="B24" s="169"/>
      <c r="C24" s="8" t="s">
        <v>30</v>
      </c>
      <c r="D24" s="9"/>
      <c r="E24" s="165" t="s">
        <v>171</v>
      </c>
      <c r="G24" s="18"/>
    </row>
    <row r="25" spans="2:7" ht="15" customHeight="1">
      <c r="B25" s="169"/>
      <c r="C25" s="8" t="s">
        <v>76</v>
      </c>
      <c r="D25" s="9"/>
      <c r="G25" s="18"/>
    </row>
    <row r="26" spans="2:7" ht="15" customHeight="1">
      <c r="B26" s="169"/>
      <c r="C26" s="8" t="s">
        <v>32</v>
      </c>
      <c r="D26" s="9"/>
    </row>
    <row r="27" spans="2:7" ht="15" customHeight="1">
      <c r="B27" s="169"/>
      <c r="C27" s="8" t="s">
        <v>33</v>
      </c>
      <c r="D27" s="9"/>
    </row>
    <row r="28" spans="2:7" ht="15" customHeight="1">
      <c r="B28" s="169"/>
      <c r="C28" s="8" t="s">
        <v>34</v>
      </c>
      <c r="D28" s="9"/>
      <c r="G28" s="19"/>
    </row>
    <row r="29" spans="2:7" ht="15" customHeight="1">
      <c r="B29" s="169"/>
      <c r="C29" s="8" t="s">
        <v>35</v>
      </c>
      <c r="D29" s="9"/>
      <c r="G29" s="19"/>
    </row>
    <row r="30" spans="2:7" ht="15" customHeight="1">
      <c r="B30" s="170"/>
      <c r="C30" s="13" t="s">
        <v>36</v>
      </c>
      <c r="D30" s="14"/>
      <c r="G30" s="19"/>
    </row>
    <row r="31" spans="2:7" ht="15" customHeight="1">
      <c r="B31" s="20"/>
      <c r="G31" s="19"/>
    </row>
    <row r="32" spans="2:7" ht="15" customHeight="1">
      <c r="B32" s="168" t="s">
        <v>37</v>
      </c>
      <c r="C32" s="8" t="s">
        <v>38</v>
      </c>
      <c r="D32" s="9"/>
      <c r="E32" s="171" t="s">
        <v>66</v>
      </c>
      <c r="F32" s="12" t="s">
        <v>38</v>
      </c>
      <c r="G32" s="19"/>
    </row>
    <row r="33" spans="2:7" ht="15" customHeight="1">
      <c r="B33" s="169"/>
      <c r="C33" s="8" t="s">
        <v>18</v>
      </c>
      <c r="D33" s="9"/>
      <c r="E33" s="172"/>
      <c r="F33" s="12" t="s">
        <v>22</v>
      </c>
      <c r="G33" s="19"/>
    </row>
    <row r="34" spans="2:7" ht="15" customHeight="1">
      <c r="B34" s="169"/>
      <c r="C34" s="8" t="s">
        <v>39</v>
      </c>
      <c r="D34" s="9"/>
      <c r="E34" s="172"/>
      <c r="F34" s="12" t="s">
        <v>41</v>
      </c>
      <c r="G34" s="19"/>
    </row>
    <row r="35" spans="2:7" ht="15" customHeight="1">
      <c r="B35" s="169"/>
      <c r="C35" s="8" t="s">
        <v>40</v>
      </c>
      <c r="D35" s="9"/>
      <c r="E35" s="172"/>
      <c r="F35" s="12" t="s">
        <v>40</v>
      </c>
    </row>
    <row r="36" spans="2:7" ht="15" customHeight="1">
      <c r="B36" s="169"/>
      <c r="C36" s="8" t="s">
        <v>41</v>
      </c>
      <c r="D36" s="9"/>
      <c r="E36" s="172"/>
      <c r="F36" s="12" t="s">
        <v>39</v>
      </c>
    </row>
    <row r="37" spans="2:7" ht="15" customHeight="1">
      <c r="B37" s="169"/>
      <c r="C37" s="8" t="s">
        <v>42</v>
      </c>
      <c r="D37" s="9"/>
      <c r="E37" s="172"/>
      <c r="F37" s="12" t="s">
        <v>42</v>
      </c>
      <c r="G37" s="21"/>
    </row>
    <row r="38" spans="2:7" ht="15" customHeight="1">
      <c r="B38" s="169"/>
      <c r="C38" s="8" t="s">
        <v>22</v>
      </c>
      <c r="D38" s="9"/>
      <c r="E38" s="173"/>
      <c r="F38" s="12" t="s">
        <v>18</v>
      </c>
      <c r="G38" s="21"/>
    </row>
    <row r="39" spans="2:7" ht="15" customHeight="1">
      <c r="B39" s="170"/>
      <c r="C39" s="8" t="s">
        <v>43</v>
      </c>
      <c r="D39" s="9"/>
      <c r="E39" s="165" t="s">
        <v>172</v>
      </c>
      <c r="G39" s="21"/>
    </row>
    <row r="40" spans="2:7" ht="15" customHeight="1">
      <c r="B40" s="3"/>
      <c r="C40" s="22"/>
      <c r="D40" s="23"/>
    </row>
    <row r="41" spans="2:7" ht="15" customHeight="1">
      <c r="B41" s="168" t="s">
        <v>44</v>
      </c>
      <c r="C41" s="8" t="s">
        <v>45</v>
      </c>
      <c r="D41" s="9"/>
      <c r="E41" s="171" t="s">
        <v>64</v>
      </c>
      <c r="F41" s="178" t="s">
        <v>77</v>
      </c>
    </row>
    <row r="42" spans="2:7" ht="15" customHeight="1">
      <c r="B42" s="169"/>
      <c r="C42" s="8" t="s">
        <v>46</v>
      </c>
      <c r="D42" s="9"/>
      <c r="E42" s="172"/>
      <c r="F42" s="179"/>
      <c r="G42" s="7"/>
    </row>
    <row r="43" spans="2:7" ht="15" customHeight="1">
      <c r="B43" s="169"/>
      <c r="C43" s="8" t="s">
        <v>47</v>
      </c>
      <c r="D43" s="9"/>
      <c r="E43" s="172"/>
      <c r="F43" s="179"/>
      <c r="G43" s="7"/>
    </row>
    <row r="44" spans="2:7" ht="15" customHeight="1">
      <c r="B44" s="170"/>
      <c r="C44" s="8" t="s">
        <v>48</v>
      </c>
      <c r="D44" s="9"/>
      <c r="E44" s="173"/>
      <c r="F44" s="180"/>
    </row>
    <row r="45" spans="2:7" ht="15" customHeight="1">
      <c r="B45" s="3"/>
    </row>
    <row r="46" spans="2:7" ht="15" customHeight="1">
      <c r="B46" s="168" t="s">
        <v>54</v>
      </c>
      <c r="C46" s="13" t="s">
        <v>78</v>
      </c>
      <c r="D46" s="14"/>
      <c r="E46" s="171" t="s">
        <v>67</v>
      </c>
      <c r="F46" s="181" t="s">
        <v>79</v>
      </c>
      <c r="G46" s="18"/>
    </row>
    <row r="47" spans="2:7" ht="15" customHeight="1">
      <c r="B47" s="169"/>
      <c r="C47" s="8" t="s">
        <v>80</v>
      </c>
      <c r="D47" s="9"/>
      <c r="E47" s="172"/>
      <c r="F47" s="182"/>
    </row>
    <row r="48" spans="2:7" ht="15" customHeight="1">
      <c r="B48" s="170"/>
      <c r="C48" s="24" t="s">
        <v>79</v>
      </c>
      <c r="D48" s="14"/>
      <c r="E48" s="173"/>
      <c r="F48" s="183"/>
      <c r="G48" s="18"/>
    </row>
    <row r="49" spans="1:24" ht="15" customHeight="1">
      <c r="B49" s="20"/>
    </row>
    <row r="50" spans="1:24" ht="15" customHeight="1">
      <c r="B50" s="1" t="s">
        <v>49</v>
      </c>
      <c r="C50" s="8" t="s">
        <v>49</v>
      </c>
      <c r="E50" s="25" t="s">
        <v>81</v>
      </c>
      <c r="F50" s="12" t="s">
        <v>82</v>
      </c>
      <c r="G50" s="18"/>
    </row>
    <row r="51" spans="1:24" ht="15" customHeight="1">
      <c r="B51" s="3"/>
    </row>
    <row r="52" spans="1:24" ht="15" customHeight="1">
      <c r="B52" s="1" t="s">
        <v>50</v>
      </c>
      <c r="C52" s="8" t="s">
        <v>50</v>
      </c>
      <c r="E52" s="25" t="s">
        <v>83</v>
      </c>
      <c r="F52" s="12" t="s">
        <v>84</v>
      </c>
      <c r="G52" s="18"/>
    </row>
    <row r="53" spans="1:24" ht="15" customHeight="1">
      <c r="B53" s="3"/>
      <c r="G53" s="18"/>
    </row>
    <row r="54" spans="1:24" ht="15" customHeight="1">
      <c r="B54" s="1" t="s">
        <v>60</v>
      </c>
      <c r="C54" s="8" t="s">
        <v>60</v>
      </c>
      <c r="E54" s="25" t="s">
        <v>85</v>
      </c>
      <c r="F54" s="12" t="s">
        <v>86</v>
      </c>
    </row>
    <row r="55" spans="1:24" ht="15" customHeight="1">
      <c r="B55" s="3"/>
    </row>
    <row r="56" spans="1:24" ht="15" customHeight="1">
      <c r="B56" s="168" t="s">
        <v>51</v>
      </c>
      <c r="C56" s="8" t="s">
        <v>87</v>
      </c>
      <c r="D56" s="9"/>
      <c r="E56" s="25" t="s">
        <v>62</v>
      </c>
      <c r="F56" s="12" t="s">
        <v>88</v>
      </c>
    </row>
    <row r="57" spans="1:24" ht="15" customHeight="1">
      <c r="B57" s="169"/>
      <c r="C57" s="8" t="s">
        <v>88</v>
      </c>
      <c r="D57" s="9"/>
      <c r="E57" s="25" t="s">
        <v>63</v>
      </c>
      <c r="F57" s="12" t="s">
        <v>87</v>
      </c>
      <c r="N57" s="4"/>
      <c r="O57" s="4"/>
      <c r="P57" s="4"/>
      <c r="Q57" s="4"/>
      <c r="R57" s="4"/>
      <c r="S57" s="4"/>
      <c r="T57" s="4"/>
      <c r="U57" s="4"/>
      <c r="V57" s="4"/>
      <c r="W57" s="4"/>
      <c r="X57" s="4"/>
    </row>
    <row r="58" spans="1:24" s="4" customFormat="1" ht="15" customHeight="1">
      <c r="A58" s="2"/>
      <c r="B58" s="170"/>
      <c r="C58" s="13" t="s">
        <v>89</v>
      </c>
      <c r="D58" s="14"/>
      <c r="E58" s="2"/>
      <c r="F58" s="2"/>
      <c r="G58" s="3"/>
      <c r="H58" s="2"/>
      <c r="I58" s="2"/>
      <c r="J58" s="2"/>
      <c r="K58" s="2"/>
      <c r="L58" s="2"/>
      <c r="M58" s="2"/>
    </row>
    <row r="59" spans="1:24" s="4" customFormat="1" ht="15" customHeight="1">
      <c r="A59" s="2"/>
      <c r="B59" s="3"/>
      <c r="C59" s="2"/>
      <c r="E59" s="2"/>
      <c r="F59" s="2"/>
      <c r="G59" s="3"/>
      <c r="H59" s="2"/>
      <c r="I59" s="2"/>
      <c r="J59" s="2"/>
      <c r="K59" s="2"/>
      <c r="L59" s="2"/>
      <c r="M59" s="2"/>
    </row>
    <row r="60" spans="1:24" s="4" customFormat="1" ht="15" customHeight="1">
      <c r="A60" s="2"/>
      <c r="B60" s="175" t="s">
        <v>90</v>
      </c>
      <c r="C60" s="26" t="s">
        <v>103</v>
      </c>
      <c r="E60" s="2"/>
      <c r="F60" s="2"/>
      <c r="G60" s="3"/>
      <c r="H60" s="2"/>
      <c r="I60" s="2"/>
      <c r="J60" s="2"/>
      <c r="K60" s="2"/>
      <c r="L60" s="2"/>
      <c r="M60" s="2"/>
    </row>
    <row r="61" spans="1:24" s="4" customFormat="1" ht="15" customHeight="1">
      <c r="A61" s="2"/>
      <c r="B61" s="176"/>
      <c r="C61" s="26" t="s">
        <v>104</v>
      </c>
      <c r="E61" s="2"/>
      <c r="F61" s="2"/>
      <c r="G61" s="3"/>
      <c r="H61" s="2"/>
      <c r="I61" s="2"/>
      <c r="J61" s="2"/>
      <c r="K61" s="2"/>
      <c r="L61" s="2"/>
      <c r="M61" s="2"/>
    </row>
    <row r="62" spans="1:24" s="4" customFormat="1" ht="15" customHeight="1">
      <c r="A62" s="2"/>
      <c r="B62" s="176"/>
      <c r="C62" s="26" t="s">
        <v>105</v>
      </c>
      <c r="E62" s="2"/>
      <c r="F62" s="2"/>
      <c r="G62" s="3"/>
      <c r="H62" s="2"/>
      <c r="I62" s="2"/>
      <c r="J62" s="2"/>
      <c r="K62" s="2"/>
      <c r="L62" s="2"/>
      <c r="M62" s="2"/>
    </row>
    <row r="63" spans="1:24" s="4" customFormat="1" ht="15" customHeight="1">
      <c r="A63" s="2"/>
      <c r="B63" s="176"/>
      <c r="C63" s="26" t="s">
        <v>106</v>
      </c>
      <c r="E63" s="2"/>
      <c r="F63" s="2"/>
      <c r="G63" s="3"/>
      <c r="H63" s="2"/>
      <c r="I63" s="2"/>
      <c r="J63" s="2"/>
      <c r="K63" s="2"/>
      <c r="L63" s="2"/>
      <c r="M63" s="2"/>
    </row>
    <row r="64" spans="1:24" s="4" customFormat="1" ht="15" customHeight="1">
      <c r="A64" s="2"/>
      <c r="B64" s="176"/>
      <c r="C64" s="26" t="s">
        <v>107</v>
      </c>
      <c r="E64" s="2"/>
      <c r="F64" s="2"/>
      <c r="G64" s="3"/>
      <c r="H64" s="2"/>
      <c r="I64" s="2"/>
      <c r="J64" s="2"/>
      <c r="K64" s="2"/>
      <c r="L64" s="2"/>
      <c r="M64" s="2"/>
    </row>
    <row r="65" spans="1:24" s="4" customFormat="1" ht="15" customHeight="1">
      <c r="A65" s="2"/>
      <c r="B65" s="176"/>
      <c r="C65" s="26" t="s">
        <v>108</v>
      </c>
      <c r="E65" s="2"/>
      <c r="F65" s="2"/>
      <c r="G65" s="3"/>
      <c r="H65" s="2"/>
      <c r="I65" s="2"/>
      <c r="J65" s="2"/>
      <c r="K65" s="2"/>
      <c r="L65" s="2"/>
      <c r="M65" s="2"/>
    </row>
    <row r="66" spans="1:24" s="4" customFormat="1" ht="15" customHeight="1">
      <c r="A66" s="2"/>
      <c r="B66" s="176"/>
      <c r="C66" s="26" t="s">
        <v>109</v>
      </c>
      <c r="E66" s="2"/>
      <c r="F66" s="2"/>
      <c r="G66" s="3"/>
      <c r="H66" s="2"/>
      <c r="I66" s="2"/>
      <c r="J66" s="2"/>
      <c r="K66" s="2"/>
      <c r="L66" s="2"/>
      <c r="M66" s="2"/>
    </row>
    <row r="67" spans="1:24" s="4" customFormat="1" ht="15" customHeight="1">
      <c r="A67" s="2"/>
      <c r="B67" s="177"/>
      <c r="C67" s="27" t="s">
        <v>91</v>
      </c>
      <c r="E67" s="2"/>
      <c r="F67" s="2"/>
      <c r="G67" s="3"/>
      <c r="H67" s="2"/>
      <c r="I67" s="2"/>
      <c r="J67" s="2"/>
      <c r="K67" s="2"/>
      <c r="L67" s="2"/>
      <c r="M67" s="2"/>
    </row>
    <row r="68" spans="1:24" s="4" customFormat="1" ht="15" customHeight="1">
      <c r="A68" s="2"/>
      <c r="B68" s="2"/>
      <c r="E68" s="2"/>
      <c r="F68" s="2"/>
      <c r="G68" s="3"/>
      <c r="H68" s="2"/>
      <c r="I68" s="2"/>
      <c r="J68" s="2"/>
      <c r="K68" s="2"/>
      <c r="L68" s="2"/>
      <c r="M68" s="2"/>
    </row>
    <row r="69" spans="1:24" s="4" customFormat="1" ht="15" customHeight="1">
      <c r="A69" s="2"/>
      <c r="B69" s="2"/>
      <c r="C69" s="2"/>
      <c r="E69" s="2"/>
      <c r="F69" s="2"/>
      <c r="G69" s="3"/>
      <c r="H69" s="2"/>
      <c r="I69" s="2"/>
      <c r="J69" s="2"/>
      <c r="K69" s="2"/>
      <c r="L69" s="2"/>
      <c r="M69" s="2"/>
    </row>
    <row r="70" spans="1:24" s="4" customFormat="1" ht="15" customHeight="1">
      <c r="A70" s="2"/>
      <c r="B70" s="2"/>
      <c r="C70" s="188" t="s">
        <v>92</v>
      </c>
      <c r="E70" s="2"/>
      <c r="F70" s="2"/>
      <c r="G70" s="3"/>
      <c r="H70" s="2"/>
      <c r="I70" s="2"/>
      <c r="J70" s="2"/>
      <c r="K70" s="2"/>
      <c r="L70" s="2"/>
      <c r="M70" s="2"/>
    </row>
    <row r="71" spans="1:24" s="4" customFormat="1" ht="15" customHeight="1">
      <c r="A71" s="2"/>
      <c r="B71" s="2"/>
      <c r="C71" s="189"/>
      <c r="E71" s="2"/>
      <c r="F71" s="2"/>
      <c r="G71" s="3"/>
      <c r="H71" s="2"/>
      <c r="I71" s="2"/>
      <c r="J71" s="2"/>
      <c r="K71" s="2"/>
      <c r="L71" s="2"/>
      <c r="M71" s="2"/>
    </row>
    <row r="72" spans="1:24" s="4" customFormat="1" ht="15" customHeight="1">
      <c r="A72" s="2"/>
      <c r="B72" s="2"/>
      <c r="C72" s="190"/>
      <c r="E72" s="2"/>
      <c r="F72" s="2"/>
      <c r="G72" s="3"/>
      <c r="H72" s="2"/>
      <c r="I72" s="2"/>
      <c r="J72" s="2"/>
      <c r="K72" s="2"/>
      <c r="L72" s="2"/>
      <c r="M72" s="2"/>
    </row>
    <row r="73" spans="1:24" s="4" customFormat="1" ht="15" customHeight="1">
      <c r="A73" s="2"/>
      <c r="B73" s="2"/>
      <c r="C73" s="8" t="s">
        <v>28</v>
      </c>
      <c r="E73" s="2"/>
      <c r="F73" s="2"/>
      <c r="G73" s="3"/>
      <c r="H73" s="2"/>
      <c r="I73" s="2"/>
      <c r="J73" s="2"/>
      <c r="K73" s="2"/>
      <c r="L73" s="2"/>
      <c r="M73" s="2"/>
    </row>
    <row r="74" spans="1:24" s="4" customFormat="1" ht="15" customHeight="1">
      <c r="A74" s="2"/>
      <c r="B74" s="2"/>
      <c r="C74" s="8" t="s">
        <v>29</v>
      </c>
      <c r="E74" s="2"/>
      <c r="F74" s="2"/>
      <c r="G74" s="3"/>
      <c r="H74" s="2"/>
      <c r="I74" s="2"/>
      <c r="J74" s="2"/>
      <c r="K74" s="2"/>
      <c r="L74" s="2"/>
      <c r="M74" s="2"/>
    </row>
    <row r="75" spans="1:24" s="4" customFormat="1" ht="15" customHeight="1">
      <c r="A75" s="2"/>
      <c r="B75" s="2"/>
      <c r="C75" s="8" t="s">
        <v>33</v>
      </c>
      <c r="E75" s="2"/>
      <c r="F75" s="2"/>
      <c r="G75" s="3"/>
      <c r="H75" s="2"/>
      <c r="I75" s="2"/>
      <c r="J75" s="2"/>
      <c r="K75" s="2"/>
      <c r="L75" s="2"/>
      <c r="M75" s="2"/>
    </row>
    <row r="76" spans="1:24" s="4" customFormat="1" ht="15" customHeight="1">
      <c r="A76" s="2"/>
      <c r="B76" s="2"/>
      <c r="C76" s="8" t="s">
        <v>43</v>
      </c>
      <c r="E76" s="2"/>
      <c r="F76" s="2"/>
      <c r="G76" s="3"/>
      <c r="H76" s="2"/>
      <c r="I76" s="2"/>
      <c r="J76" s="2"/>
      <c r="K76" s="2"/>
      <c r="L76" s="2"/>
      <c r="M76" s="2"/>
    </row>
    <row r="77" spans="1:24" s="4" customFormat="1" ht="15" customHeight="1">
      <c r="A77" s="2"/>
      <c r="B77" s="2"/>
      <c r="C77" s="2"/>
      <c r="E77" s="2"/>
      <c r="F77" s="2"/>
      <c r="G77" s="3"/>
      <c r="H77" s="2"/>
      <c r="I77" s="2"/>
      <c r="J77" s="2"/>
      <c r="K77" s="2"/>
      <c r="L77" s="2"/>
      <c r="M77" s="2"/>
      <c r="N77" s="2"/>
      <c r="O77" s="2"/>
      <c r="P77" s="2"/>
      <c r="Q77" s="2"/>
      <c r="R77" s="2"/>
      <c r="S77" s="2"/>
      <c r="T77" s="2"/>
      <c r="U77" s="2"/>
      <c r="V77" s="2"/>
      <c r="W77" s="2"/>
      <c r="X77" s="2"/>
    </row>
  </sheetData>
  <sheetProtection selectLockedCells="1"/>
  <mergeCells count="18">
    <mergeCell ref="C70:C72"/>
    <mergeCell ref="B32:B39"/>
    <mergeCell ref="E32:E38"/>
    <mergeCell ref="B41:B44"/>
    <mergeCell ref="E41:E44"/>
    <mergeCell ref="B46:B48"/>
    <mergeCell ref="E46:E48"/>
    <mergeCell ref="B18:B30"/>
    <mergeCell ref="E18:E22"/>
    <mergeCell ref="B2:F2"/>
    <mergeCell ref="B56:B58"/>
    <mergeCell ref="B60:B67"/>
    <mergeCell ref="F41:F44"/>
    <mergeCell ref="F46:F48"/>
    <mergeCell ref="B3:C3"/>
    <mergeCell ref="E3:F3"/>
    <mergeCell ref="E6:E10"/>
    <mergeCell ref="B5:B16"/>
  </mergeCells>
  <pageMargins left="0.7" right="0.7" top="0.75" bottom="0.75" header="0.3" footer="0.3"/>
  <pageSetup paperSize="9"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outlinePr showOutlineSymbols="0"/>
    <pageSetUpPr fitToPage="1"/>
  </sheetPr>
  <dimension ref="B1:AK72"/>
  <sheetViews>
    <sheetView showGridLines="0" showRowColHeaders="0" showZeros="0" showOutlineSymbols="0" zoomScale="80" zoomScaleNormal="80" workbookViewId="0">
      <pane xSplit="3" ySplit="4" topLeftCell="D5" activePane="bottomRight" state="frozen"/>
      <selection activeCell="D14" sqref="D14"/>
      <selection pane="topRight" activeCell="D14" sqref="D14"/>
      <selection pane="bottomLeft" activeCell="D14" sqref="D14"/>
      <selection pane="bottomRight" activeCell="I15" sqref="I15"/>
    </sheetView>
  </sheetViews>
  <sheetFormatPr defaultRowHeight="12.75"/>
  <cols>
    <col min="1" max="1" width="2.28515625" style="69" customWidth="1"/>
    <col min="2" max="2" width="26.140625" style="69" customWidth="1"/>
    <col min="3" max="3" width="30.7109375" style="69" customWidth="1"/>
    <col min="4" max="8" width="10.7109375" style="65" customWidth="1"/>
    <col min="9" max="23" width="10.7109375" style="66" customWidth="1"/>
    <col min="24" max="24" width="9.7109375" style="68" customWidth="1"/>
    <col min="25" max="25" width="9.7109375" style="69" customWidth="1"/>
    <col min="26" max="26" width="9.7109375" style="68" customWidth="1"/>
    <col min="27" max="27" width="9.7109375" style="69" customWidth="1"/>
    <col min="28" max="28" width="9.7109375" style="68" customWidth="1"/>
    <col min="29" max="29" width="9.7109375" style="69" customWidth="1"/>
    <col min="30" max="30" width="9.7109375" style="68" customWidth="1"/>
    <col min="31" max="31" width="9.7109375" style="69" customWidth="1"/>
    <col min="32" max="32" width="9.7109375" style="68" customWidth="1"/>
    <col min="33" max="33" width="9.7109375" style="69" customWidth="1"/>
    <col min="34" max="34" width="2.28515625" style="69" customWidth="1"/>
    <col min="35" max="35" width="9.140625" style="69" customWidth="1"/>
    <col min="36" max="16384" width="9.140625" style="69"/>
  </cols>
  <sheetData>
    <row r="1" spans="2:33" ht="56.25" customHeight="1">
      <c r="B1" s="225" t="s">
        <v>151</v>
      </c>
      <c r="C1" s="225"/>
      <c r="O1" s="67" t="s">
        <v>69</v>
      </c>
      <c r="P1" s="67" t="s">
        <v>69</v>
      </c>
      <c r="R1" s="67" t="s">
        <v>69</v>
      </c>
    </row>
    <row r="2" spans="2:33" ht="27.75" customHeight="1">
      <c r="B2" s="203" t="s">
        <v>0</v>
      </c>
      <c r="C2" s="204"/>
      <c r="D2" s="210" t="s">
        <v>1</v>
      </c>
      <c r="E2" s="210"/>
      <c r="F2" s="210"/>
      <c r="G2" s="210"/>
      <c r="H2" s="211"/>
      <c r="I2" s="216" t="s">
        <v>2</v>
      </c>
      <c r="J2" s="216"/>
      <c r="K2" s="216"/>
      <c r="L2" s="216"/>
      <c r="M2" s="216"/>
      <c r="N2" s="216"/>
      <c r="O2" s="216"/>
      <c r="P2" s="216"/>
      <c r="Q2" s="216"/>
      <c r="R2" s="217"/>
      <c r="S2" s="222" t="s">
        <v>3</v>
      </c>
      <c r="T2" s="222"/>
      <c r="U2" s="222"/>
      <c r="V2" s="222"/>
      <c r="W2" s="222"/>
      <c r="X2" s="198" t="s">
        <v>4</v>
      </c>
      <c r="Y2" s="199"/>
      <c r="Z2" s="199"/>
      <c r="AA2" s="199"/>
      <c r="AB2" s="199"/>
      <c r="AC2" s="199"/>
      <c r="AD2" s="199"/>
      <c r="AE2" s="199"/>
      <c r="AF2" s="199"/>
      <c r="AG2" s="199"/>
    </row>
    <row r="3" spans="2:33" ht="15.75" customHeight="1">
      <c r="B3" s="205"/>
      <c r="C3" s="206"/>
      <c r="D3" s="213"/>
      <c r="E3" s="213"/>
      <c r="F3" s="213"/>
      <c r="G3" s="213"/>
      <c r="H3" s="214"/>
      <c r="I3" s="219"/>
      <c r="J3" s="219"/>
      <c r="K3" s="219"/>
      <c r="L3" s="219"/>
      <c r="M3" s="219"/>
      <c r="N3" s="219"/>
      <c r="O3" s="219"/>
      <c r="P3" s="219"/>
      <c r="Q3" s="219"/>
      <c r="R3" s="220"/>
      <c r="S3" s="224"/>
      <c r="T3" s="224"/>
      <c r="U3" s="224"/>
      <c r="V3" s="224"/>
      <c r="W3" s="224"/>
      <c r="X3" s="200" t="s">
        <v>5</v>
      </c>
      <c r="Y3" s="201"/>
      <c r="Z3" s="202" t="s">
        <v>6</v>
      </c>
      <c r="AA3" s="201"/>
      <c r="AB3" s="202" t="s">
        <v>7</v>
      </c>
      <c r="AC3" s="201"/>
      <c r="AD3" s="202" t="s">
        <v>8</v>
      </c>
      <c r="AE3" s="201"/>
      <c r="AF3" s="194">
        <f>H4</f>
        <v>2015</v>
      </c>
      <c r="AG3" s="195"/>
    </row>
    <row r="4" spans="2:33" ht="69" customHeight="1">
      <c r="B4" s="207"/>
      <c r="C4" s="208"/>
      <c r="D4" s="70" t="s">
        <v>5</v>
      </c>
      <c r="E4" s="70" t="s">
        <v>6</v>
      </c>
      <c r="F4" s="70" t="s">
        <v>7</v>
      </c>
      <c r="G4" s="70" t="s">
        <v>8</v>
      </c>
      <c r="H4" s="116">
        <v>2015</v>
      </c>
      <c r="I4" s="70" t="s">
        <v>5</v>
      </c>
      <c r="J4" s="72" t="s">
        <v>9</v>
      </c>
      <c r="K4" s="70" t="s">
        <v>6</v>
      </c>
      <c r="L4" s="72" t="s">
        <v>9</v>
      </c>
      <c r="M4" s="70" t="s">
        <v>7</v>
      </c>
      <c r="N4" s="72" t="s">
        <v>9</v>
      </c>
      <c r="O4" s="70" t="s">
        <v>8</v>
      </c>
      <c r="P4" s="72" t="s">
        <v>9</v>
      </c>
      <c r="Q4" s="71">
        <f>H4</f>
        <v>2015</v>
      </c>
      <c r="R4" s="73" t="s">
        <v>9</v>
      </c>
      <c r="S4" s="70" t="s">
        <v>5</v>
      </c>
      <c r="T4" s="70" t="s">
        <v>6</v>
      </c>
      <c r="U4" s="70" t="s">
        <v>7</v>
      </c>
      <c r="V4" s="70" t="s">
        <v>8</v>
      </c>
      <c r="W4" s="74">
        <f>H4</f>
        <v>2015</v>
      </c>
      <c r="X4" s="130" t="s">
        <v>10</v>
      </c>
      <c r="Y4" s="75" t="s">
        <v>11</v>
      </c>
      <c r="Z4" s="76" t="s">
        <v>10</v>
      </c>
      <c r="AA4" s="75" t="s">
        <v>11</v>
      </c>
      <c r="AB4" s="76" t="s">
        <v>10</v>
      </c>
      <c r="AC4" s="75" t="s">
        <v>11</v>
      </c>
      <c r="AD4" s="76" t="s">
        <v>10</v>
      </c>
      <c r="AE4" s="75" t="s">
        <v>11</v>
      </c>
      <c r="AF4" s="77" t="s">
        <v>10</v>
      </c>
      <c r="AG4" s="78" t="s">
        <v>11</v>
      </c>
    </row>
    <row r="5" spans="2:33" s="81" customFormat="1" ht="18" customHeight="1">
      <c r="B5" s="196" t="s">
        <v>12</v>
      </c>
      <c r="C5" s="79" t="s">
        <v>13</v>
      </c>
      <c r="D5" s="105">
        <v>2091</v>
      </c>
      <c r="E5" s="105">
        <v>1914</v>
      </c>
      <c r="F5" s="105">
        <v>1864</v>
      </c>
      <c r="G5" s="105">
        <v>2265</v>
      </c>
      <c r="H5" s="105">
        <v>8134</v>
      </c>
      <c r="I5" s="106">
        <v>2073</v>
      </c>
      <c r="J5" s="106">
        <v>15</v>
      </c>
      <c r="K5" s="106">
        <v>1977</v>
      </c>
      <c r="L5" s="106"/>
      <c r="M5" s="106">
        <v>1814</v>
      </c>
      <c r="N5" s="106">
        <v>1</v>
      </c>
      <c r="O5" s="106">
        <v>2322</v>
      </c>
      <c r="P5" s="106">
        <v>0</v>
      </c>
      <c r="Q5" s="106">
        <v>8186</v>
      </c>
      <c r="R5" s="106">
        <v>16</v>
      </c>
      <c r="S5" s="107">
        <v>1531</v>
      </c>
      <c r="T5" s="107">
        <v>1468</v>
      </c>
      <c r="U5" s="107">
        <v>1517</v>
      </c>
      <c r="V5" s="107">
        <v>1458</v>
      </c>
      <c r="W5" s="121">
        <v>1458</v>
      </c>
      <c r="X5" s="131">
        <f t="shared" ref="X5:X58" si="0">IFERROR(I5/D5,0)</f>
        <v>0.99139167862266853</v>
      </c>
      <c r="Y5" s="118">
        <f t="shared" ref="Y5:Y58" si="1">IFERROR((S5/I5)*91.25,0)</f>
        <v>67.392064640617463</v>
      </c>
      <c r="Z5" s="80">
        <f t="shared" ref="Z5:Z58" si="2">IFERROR(K5/E5,0)</f>
        <v>1.0329153605015673</v>
      </c>
      <c r="AA5" s="118">
        <f t="shared" ref="AA5:AA58" si="3">IFERROR((T5/K5)*91.25,0)</f>
        <v>67.756702073849269</v>
      </c>
      <c r="AB5" s="80">
        <f t="shared" ref="AB5:AB58" si="4">IFERROR(M5/F5,0)</f>
        <v>0.97317596566523601</v>
      </c>
      <c r="AC5" s="118">
        <f>IFERROR((U5/M5)*91.25,0)</f>
        <v>76.309950385887547</v>
      </c>
      <c r="AD5" s="80">
        <f t="shared" ref="AD5:AD58" si="5">IFERROR(O5/G5,0)</f>
        <v>1.0251655629139074</v>
      </c>
      <c r="AE5" s="118">
        <f>IFERROR((V5/O5)*91.25,0)</f>
        <v>57.29651162790698</v>
      </c>
      <c r="AF5" s="80">
        <f t="shared" ref="AF5:AF58" si="6">IFERROR(Q5/H5,0)</f>
        <v>1.0063929186132283</v>
      </c>
      <c r="AG5" s="118">
        <f>IFERROR((W5/Q5)*365,0)</f>
        <v>65.009772782799899</v>
      </c>
    </row>
    <row r="6" spans="2:33" s="81" customFormat="1" ht="18" customHeight="1">
      <c r="B6" s="196"/>
      <c r="C6" s="79" t="s">
        <v>14</v>
      </c>
      <c r="D6" s="105">
        <v>3122</v>
      </c>
      <c r="E6" s="105">
        <v>2755</v>
      </c>
      <c r="F6" s="105">
        <v>2521</v>
      </c>
      <c r="G6" s="105">
        <v>3033</v>
      </c>
      <c r="H6" s="105">
        <v>11431</v>
      </c>
      <c r="I6" s="106">
        <v>3400</v>
      </c>
      <c r="J6" s="106">
        <v>12</v>
      </c>
      <c r="K6" s="106">
        <v>2825</v>
      </c>
      <c r="L6" s="106">
        <v>67</v>
      </c>
      <c r="M6" s="106">
        <v>2594</v>
      </c>
      <c r="N6" s="106"/>
      <c r="O6" s="106">
        <v>2737</v>
      </c>
      <c r="P6" s="106">
        <v>0</v>
      </c>
      <c r="Q6" s="106">
        <v>11556</v>
      </c>
      <c r="R6" s="106">
        <v>79</v>
      </c>
      <c r="S6" s="107">
        <v>3162</v>
      </c>
      <c r="T6" s="107">
        <v>3024</v>
      </c>
      <c r="U6" s="107">
        <v>2951</v>
      </c>
      <c r="V6" s="107">
        <v>3248</v>
      </c>
      <c r="W6" s="121">
        <v>3248</v>
      </c>
      <c r="X6" s="131">
        <f t="shared" si="0"/>
        <v>1.0890454836643177</v>
      </c>
      <c r="Y6" s="118">
        <f t="shared" si="1"/>
        <v>84.862500000000011</v>
      </c>
      <c r="Z6" s="80">
        <f t="shared" si="2"/>
        <v>1.0254083484573502</v>
      </c>
      <c r="AA6" s="118">
        <f t="shared" si="3"/>
        <v>97.677876106194688</v>
      </c>
      <c r="AB6" s="80">
        <f t="shared" si="4"/>
        <v>1.0289567631892107</v>
      </c>
      <c r="AC6" s="118">
        <f t="shared" ref="AC6:AC71" si="7">IFERROR((U6/M6)*91.25,0)</f>
        <v>103.80830763299922</v>
      </c>
      <c r="AD6" s="80">
        <f t="shared" si="5"/>
        <v>0.90240685789647213</v>
      </c>
      <c r="AE6" s="118">
        <f t="shared" ref="AE6:AE70" si="8">IFERROR((V6/O6)*91.25,0)</f>
        <v>108.28644501278772</v>
      </c>
      <c r="AF6" s="80">
        <f t="shared" si="6"/>
        <v>1.0109351762750416</v>
      </c>
      <c r="AG6" s="118">
        <f t="shared" ref="AG6:AG71" si="9">IFERROR((W6/Q6)*365,0)</f>
        <v>102.58913118726203</v>
      </c>
    </row>
    <row r="7" spans="2:33" s="81" customFormat="1" ht="18" customHeight="1">
      <c r="B7" s="196"/>
      <c r="C7" s="79" t="s">
        <v>15</v>
      </c>
      <c r="D7" s="105">
        <v>4554</v>
      </c>
      <c r="E7" s="105">
        <v>4501</v>
      </c>
      <c r="F7" s="105">
        <v>3808</v>
      </c>
      <c r="G7" s="105">
        <v>4622</v>
      </c>
      <c r="H7" s="105">
        <v>17485</v>
      </c>
      <c r="I7" s="106">
        <v>4496</v>
      </c>
      <c r="J7" s="106">
        <v>26</v>
      </c>
      <c r="K7" s="106">
        <v>3981</v>
      </c>
      <c r="L7" s="106">
        <v>465</v>
      </c>
      <c r="M7" s="106">
        <v>2944</v>
      </c>
      <c r="N7" s="106">
        <v>4</v>
      </c>
      <c r="O7" s="106">
        <v>4245</v>
      </c>
      <c r="P7" s="106">
        <v>1</v>
      </c>
      <c r="Q7" s="106">
        <v>15666</v>
      </c>
      <c r="R7" s="106">
        <v>496</v>
      </c>
      <c r="S7" s="107">
        <v>20956</v>
      </c>
      <c r="T7" s="107">
        <v>21008</v>
      </c>
      <c r="U7" s="107">
        <v>21868</v>
      </c>
      <c r="V7" s="107">
        <v>22257</v>
      </c>
      <c r="W7" s="121">
        <v>22257</v>
      </c>
      <c r="X7" s="131">
        <f t="shared" si="0"/>
        <v>0.98726394378568294</v>
      </c>
      <c r="Y7" s="118">
        <f t="shared" si="1"/>
        <v>425.31917259786474</v>
      </c>
      <c r="Z7" s="80">
        <f t="shared" si="2"/>
        <v>0.88447011775161077</v>
      </c>
      <c r="AA7" s="118">
        <f t="shared" si="3"/>
        <v>481.53227832202964</v>
      </c>
      <c r="AB7" s="80">
        <f t="shared" si="4"/>
        <v>0.77310924369747902</v>
      </c>
      <c r="AC7" s="118">
        <f t="shared" si="7"/>
        <v>677.80400815217388</v>
      </c>
      <c r="AD7" s="80">
        <f t="shared" si="5"/>
        <v>0.91843357853742968</v>
      </c>
      <c r="AE7" s="118">
        <f t="shared" si="8"/>
        <v>478.43374558303884</v>
      </c>
      <c r="AF7" s="80">
        <f t="shared" si="6"/>
        <v>0.89596797254789817</v>
      </c>
      <c r="AG7" s="118">
        <f t="shared" si="9"/>
        <v>518.56281118345464</v>
      </c>
    </row>
    <row r="8" spans="2:33" s="85" customFormat="1" ht="18" customHeight="1">
      <c r="B8" s="196"/>
      <c r="C8" s="82" t="s">
        <v>16</v>
      </c>
      <c r="D8" s="83">
        <f t="shared" ref="D8" si="10">SUM(D5:D7)</f>
        <v>9767</v>
      </c>
      <c r="E8" s="83">
        <f t="shared" ref="E8" si="11">SUM(E5:E7)</f>
        <v>9170</v>
      </c>
      <c r="F8" s="83">
        <f t="shared" ref="F8" si="12">SUM(F5:F7)</f>
        <v>8193</v>
      </c>
      <c r="G8" s="83">
        <f>SUM(G5:G7)</f>
        <v>9920</v>
      </c>
      <c r="H8" s="83">
        <f>SUM(H5:H7)</f>
        <v>37050</v>
      </c>
      <c r="I8" s="83">
        <f t="shared" ref="I8" si="13">SUM(I5:I7)</f>
        <v>9969</v>
      </c>
      <c r="J8" s="83">
        <f t="shared" ref="J8" si="14">SUM(J5:J7)</f>
        <v>53</v>
      </c>
      <c r="K8" s="83">
        <f t="shared" ref="K8" si="15">SUM(K5:K7)</f>
        <v>8783</v>
      </c>
      <c r="L8" s="83">
        <f t="shared" ref="L8" si="16">SUM(L5:L7)</f>
        <v>532</v>
      </c>
      <c r="M8" s="83">
        <f t="shared" ref="M8" si="17">SUM(M5:M7)</f>
        <v>7352</v>
      </c>
      <c r="N8" s="83">
        <f t="shared" ref="N8" si="18">SUM(N5:N7)</f>
        <v>5</v>
      </c>
      <c r="O8" s="83">
        <f t="shared" ref="O8" si="19">SUM(O5:O7)</f>
        <v>9304</v>
      </c>
      <c r="P8" s="83">
        <f t="shared" ref="P8" si="20">SUM(P5:P7)</f>
        <v>1</v>
      </c>
      <c r="Q8" s="83">
        <f t="shared" ref="Q8" si="21">SUM(Q5:Q7)</f>
        <v>35408</v>
      </c>
      <c r="R8" s="83">
        <f t="shared" ref="R8" si="22">SUM(R5:R7)</f>
        <v>591</v>
      </c>
      <c r="S8" s="83">
        <f t="shared" ref="S8" si="23">SUM(S5:S7)</f>
        <v>25649</v>
      </c>
      <c r="T8" s="83">
        <f t="shared" ref="T8" si="24">SUM(T5:T7)</f>
        <v>25500</v>
      </c>
      <c r="U8" s="83">
        <f t="shared" ref="U8" si="25">SUM(U5:U7)</f>
        <v>26336</v>
      </c>
      <c r="V8" s="83">
        <f t="shared" ref="V8:W8" si="26">SUM(V5:V7)</f>
        <v>26963</v>
      </c>
      <c r="W8" s="122">
        <f t="shared" si="26"/>
        <v>26963</v>
      </c>
      <c r="X8" s="132">
        <f t="shared" si="0"/>
        <v>1.0206818879901709</v>
      </c>
      <c r="Y8" s="119">
        <f t="shared" si="1"/>
        <v>234.77492727455112</v>
      </c>
      <c r="Z8" s="84">
        <f>IFERROR(K8/E8,0)</f>
        <v>0.95779716466739373</v>
      </c>
      <c r="AA8" s="119">
        <f t="shared" si="3"/>
        <v>264.92940908573382</v>
      </c>
      <c r="AB8" s="84">
        <f t="shared" si="4"/>
        <v>0.89735139753448068</v>
      </c>
      <c r="AC8" s="119">
        <f t="shared" si="7"/>
        <v>326.87159956474426</v>
      </c>
      <c r="AD8" s="84">
        <f t="shared" si="5"/>
        <v>0.93790322580645158</v>
      </c>
      <c r="AE8" s="119">
        <f t="shared" si="8"/>
        <v>264.44257846087709</v>
      </c>
      <c r="AF8" s="84">
        <f t="shared" si="6"/>
        <v>0.95568151147098512</v>
      </c>
      <c r="AG8" s="119">
        <f t="shared" si="9"/>
        <v>277.94552078626299</v>
      </c>
    </row>
    <row r="9" spans="2:33" s="81" customFormat="1" ht="18" customHeight="1">
      <c r="B9" s="196"/>
      <c r="C9" s="86" t="s">
        <v>17</v>
      </c>
      <c r="D9" s="109">
        <v>37668</v>
      </c>
      <c r="E9" s="109">
        <v>27679</v>
      </c>
      <c r="F9" s="109">
        <v>25713</v>
      </c>
      <c r="G9" s="109">
        <v>28057</v>
      </c>
      <c r="H9" s="109">
        <v>119117</v>
      </c>
      <c r="I9" s="106">
        <v>38871</v>
      </c>
      <c r="J9" s="106">
        <v>2299</v>
      </c>
      <c r="K9" s="106">
        <v>38376</v>
      </c>
      <c r="L9" s="106">
        <v>4</v>
      </c>
      <c r="M9" s="106">
        <v>26000</v>
      </c>
      <c r="N9" s="106">
        <v>3</v>
      </c>
      <c r="O9" s="106">
        <v>36150</v>
      </c>
      <c r="P9" s="106">
        <v>0</v>
      </c>
      <c r="Q9" s="106">
        <v>139397</v>
      </c>
      <c r="R9" s="106">
        <v>2306</v>
      </c>
      <c r="S9" s="105">
        <v>163777</v>
      </c>
      <c r="T9" s="105">
        <v>152747</v>
      </c>
      <c r="U9" s="105">
        <v>152457</v>
      </c>
      <c r="V9" s="105">
        <v>144373</v>
      </c>
      <c r="W9" s="123">
        <v>144373</v>
      </c>
      <c r="X9" s="131">
        <f t="shared" si="0"/>
        <v>1.0319369225868111</v>
      </c>
      <c r="Y9" s="118">
        <f t="shared" si="1"/>
        <v>384.46788737104782</v>
      </c>
      <c r="Z9" s="80">
        <f t="shared" si="2"/>
        <v>1.3864662740705951</v>
      </c>
      <c r="AA9" s="118">
        <f t="shared" si="3"/>
        <v>363.20001433187406</v>
      </c>
      <c r="AB9" s="80">
        <f t="shared" si="4"/>
        <v>1.0111616691945708</v>
      </c>
      <c r="AC9" s="118">
        <f t="shared" si="7"/>
        <v>535.0654326923077</v>
      </c>
      <c r="AD9" s="80">
        <f t="shared" si="5"/>
        <v>1.2884485155219731</v>
      </c>
      <c r="AE9" s="118">
        <f t="shared" si="8"/>
        <v>364.42700553250347</v>
      </c>
      <c r="AF9" s="80">
        <f t="shared" si="6"/>
        <v>1.1702527766817499</v>
      </c>
      <c r="AG9" s="118">
        <f t="shared" si="9"/>
        <v>378.0292617488181</v>
      </c>
    </row>
    <row r="10" spans="2:33" s="81" customFormat="1" ht="18" customHeight="1">
      <c r="B10" s="196"/>
      <c r="C10" s="86" t="s">
        <v>18</v>
      </c>
      <c r="D10" s="109">
        <v>26113</v>
      </c>
      <c r="E10" s="109">
        <v>25817</v>
      </c>
      <c r="F10" s="109">
        <v>21907</v>
      </c>
      <c r="G10" s="109">
        <v>32795</v>
      </c>
      <c r="H10" s="109">
        <v>106632</v>
      </c>
      <c r="I10" s="106">
        <v>29645</v>
      </c>
      <c r="J10" s="106">
        <v>503</v>
      </c>
      <c r="K10" s="106">
        <v>25058</v>
      </c>
      <c r="L10" s="106">
        <v>11</v>
      </c>
      <c r="M10" s="106">
        <v>23142</v>
      </c>
      <c r="N10" s="106">
        <v>7</v>
      </c>
      <c r="O10" s="106">
        <v>30038</v>
      </c>
      <c r="P10" s="106">
        <v>8</v>
      </c>
      <c r="Q10" s="106">
        <v>107883</v>
      </c>
      <c r="R10" s="106">
        <v>529</v>
      </c>
      <c r="S10" s="105">
        <v>76927</v>
      </c>
      <c r="T10" s="105">
        <v>76711</v>
      </c>
      <c r="U10" s="105">
        <v>75469</v>
      </c>
      <c r="V10" s="105">
        <v>78227</v>
      </c>
      <c r="W10" s="123">
        <v>78227</v>
      </c>
      <c r="X10" s="131">
        <f t="shared" si="0"/>
        <v>1.1352583004633707</v>
      </c>
      <c r="Y10" s="118">
        <f t="shared" si="1"/>
        <v>236.78828638893575</v>
      </c>
      <c r="Z10" s="80">
        <f t="shared" si="2"/>
        <v>0.97060076693651465</v>
      </c>
      <c r="AA10" s="118">
        <f t="shared" si="3"/>
        <v>279.34706480964167</v>
      </c>
      <c r="AB10" s="80">
        <f t="shared" si="4"/>
        <v>1.0563746747614917</v>
      </c>
      <c r="AC10" s="118">
        <f t="shared" si="7"/>
        <v>297.57783467288914</v>
      </c>
      <c r="AD10" s="80">
        <f t="shared" si="5"/>
        <v>0.91593230675407833</v>
      </c>
      <c r="AE10" s="118">
        <f t="shared" si="8"/>
        <v>237.63944836540381</v>
      </c>
      <c r="AF10" s="80">
        <f t="shared" si="6"/>
        <v>1.0117319378798109</v>
      </c>
      <c r="AG10" s="118">
        <f t="shared" si="9"/>
        <v>264.6650074617873</v>
      </c>
    </row>
    <row r="11" spans="2:33" s="81" customFormat="1" ht="18" customHeight="1">
      <c r="B11" s="196"/>
      <c r="C11" s="153" t="s">
        <v>170</v>
      </c>
      <c r="D11" s="154"/>
      <c r="E11" s="154"/>
      <c r="F11" s="154"/>
      <c r="G11" s="154"/>
      <c r="H11" s="154"/>
      <c r="I11" s="154"/>
      <c r="J11" s="154"/>
      <c r="K11" s="154"/>
      <c r="L11" s="154"/>
      <c r="M11" s="154"/>
      <c r="N11" s="154"/>
      <c r="O11" s="154"/>
      <c r="P11" s="154"/>
      <c r="Q11" s="154"/>
      <c r="R11" s="154"/>
      <c r="S11" s="155"/>
      <c r="T11" s="155"/>
      <c r="U11" s="155"/>
      <c r="V11" s="155"/>
      <c r="W11" s="156"/>
      <c r="X11" s="157"/>
      <c r="Y11" s="158"/>
      <c r="Z11" s="159"/>
      <c r="AA11" s="158"/>
      <c r="AB11" s="159"/>
      <c r="AC11" s="158"/>
      <c r="AD11" s="159"/>
      <c r="AE11" s="158"/>
      <c r="AF11" s="159"/>
      <c r="AG11" s="158"/>
    </row>
    <row r="12" spans="2:33" s="81" customFormat="1" ht="18" customHeight="1">
      <c r="B12" s="196"/>
      <c r="C12" s="86" t="s">
        <v>19</v>
      </c>
      <c r="D12" s="109">
        <v>3188</v>
      </c>
      <c r="E12" s="109">
        <v>2684</v>
      </c>
      <c r="F12" s="109">
        <v>2809</v>
      </c>
      <c r="G12" s="109">
        <v>3356</v>
      </c>
      <c r="H12" s="109">
        <v>12037</v>
      </c>
      <c r="I12" s="106">
        <v>3964</v>
      </c>
      <c r="J12" s="106"/>
      <c r="K12" s="106">
        <v>2773</v>
      </c>
      <c r="L12" s="106"/>
      <c r="M12" s="106">
        <v>2511</v>
      </c>
      <c r="N12" s="106"/>
      <c r="O12" s="106">
        <v>3145</v>
      </c>
      <c r="P12" s="106">
        <v>0</v>
      </c>
      <c r="Q12" s="106">
        <v>12393</v>
      </c>
      <c r="R12" s="106"/>
      <c r="S12" s="105">
        <v>8000</v>
      </c>
      <c r="T12" s="105">
        <v>7907</v>
      </c>
      <c r="U12" s="105">
        <v>8205</v>
      </c>
      <c r="V12" s="105">
        <v>8429</v>
      </c>
      <c r="W12" s="123">
        <v>8429</v>
      </c>
      <c r="X12" s="131">
        <f t="shared" si="0"/>
        <v>1.2434127979924718</v>
      </c>
      <c r="Y12" s="118">
        <f t="shared" si="1"/>
        <v>184.15741675075679</v>
      </c>
      <c r="Z12" s="80">
        <f t="shared" si="2"/>
        <v>1.0331594634873322</v>
      </c>
      <c r="AA12" s="118">
        <f t="shared" si="3"/>
        <v>260.19248106743595</v>
      </c>
      <c r="AB12" s="80">
        <f t="shared" si="4"/>
        <v>0.8939124243503026</v>
      </c>
      <c r="AC12" s="118">
        <f t="shared" si="7"/>
        <v>298.17054958183991</v>
      </c>
      <c r="AD12" s="80">
        <f t="shared" si="5"/>
        <v>0.93712753277711558</v>
      </c>
      <c r="AE12" s="118">
        <f t="shared" si="8"/>
        <v>244.56160572337043</v>
      </c>
      <c r="AF12" s="80">
        <f t="shared" si="6"/>
        <v>1.029575475616848</v>
      </c>
      <c r="AG12" s="118">
        <f t="shared" si="9"/>
        <v>248.25183571370937</v>
      </c>
    </row>
    <row r="13" spans="2:33" s="81" customFormat="1" ht="18" customHeight="1">
      <c r="B13" s="196"/>
      <c r="C13" s="86" t="s">
        <v>20</v>
      </c>
      <c r="D13" s="109">
        <v>2576</v>
      </c>
      <c r="E13" s="109">
        <v>2213</v>
      </c>
      <c r="F13" s="109">
        <v>1866</v>
      </c>
      <c r="G13" s="109">
        <v>2218</v>
      </c>
      <c r="H13" s="109">
        <v>8873</v>
      </c>
      <c r="I13" s="106">
        <v>2937</v>
      </c>
      <c r="J13" s="106">
        <v>1</v>
      </c>
      <c r="K13" s="106">
        <v>2389</v>
      </c>
      <c r="L13" s="106"/>
      <c r="M13" s="106">
        <v>1988</v>
      </c>
      <c r="N13" s="106"/>
      <c r="O13" s="106">
        <v>2406</v>
      </c>
      <c r="P13" s="106">
        <v>3</v>
      </c>
      <c r="Q13" s="106">
        <v>9720</v>
      </c>
      <c r="R13" s="106">
        <v>4</v>
      </c>
      <c r="S13" s="105">
        <v>6379</v>
      </c>
      <c r="T13" s="105">
        <v>6277</v>
      </c>
      <c r="U13" s="105">
        <v>6155</v>
      </c>
      <c r="V13" s="105">
        <v>6061</v>
      </c>
      <c r="W13" s="123">
        <v>6061</v>
      </c>
      <c r="X13" s="131">
        <f t="shared" si="0"/>
        <v>1.1401397515527951</v>
      </c>
      <c r="Y13" s="118">
        <f t="shared" si="1"/>
        <v>198.18990466462378</v>
      </c>
      <c r="Z13" s="80">
        <f t="shared" si="2"/>
        <v>1.079530049706281</v>
      </c>
      <c r="AA13" s="118">
        <f t="shared" si="3"/>
        <v>239.75565089995814</v>
      </c>
      <c r="AB13" s="80">
        <f t="shared" si="4"/>
        <v>1.0653804930332262</v>
      </c>
      <c r="AC13" s="118">
        <f t="shared" si="7"/>
        <v>282.516976861167</v>
      </c>
      <c r="AD13" s="80">
        <f t="shared" si="5"/>
        <v>1.084761045987376</v>
      </c>
      <c r="AE13" s="118">
        <f t="shared" si="8"/>
        <v>229.86959684123025</v>
      </c>
      <c r="AF13" s="80">
        <f t="shared" si="6"/>
        <v>1.0954581314098952</v>
      </c>
      <c r="AG13" s="118">
        <f t="shared" si="9"/>
        <v>227.59927983539094</v>
      </c>
    </row>
    <row r="14" spans="2:33" s="81" customFormat="1" ht="18" customHeight="1">
      <c r="B14" s="196"/>
      <c r="C14" s="86" t="s">
        <v>21</v>
      </c>
      <c r="D14" s="109">
        <v>7692</v>
      </c>
      <c r="E14" s="109">
        <v>5142</v>
      </c>
      <c r="F14" s="109">
        <v>5080</v>
      </c>
      <c r="G14" s="109">
        <v>6138</v>
      </c>
      <c r="H14" s="109">
        <v>24052</v>
      </c>
      <c r="I14" s="106">
        <v>9558</v>
      </c>
      <c r="J14" s="106"/>
      <c r="K14" s="106">
        <v>5040</v>
      </c>
      <c r="L14" s="106"/>
      <c r="M14" s="106">
        <v>5154</v>
      </c>
      <c r="N14" s="106"/>
      <c r="O14" s="106">
        <v>6281</v>
      </c>
      <c r="P14" s="106">
        <v>0</v>
      </c>
      <c r="Q14" s="106">
        <v>26033</v>
      </c>
      <c r="R14" s="106"/>
      <c r="S14" s="105">
        <v>2982</v>
      </c>
      <c r="T14" s="105">
        <v>3092</v>
      </c>
      <c r="U14" s="105">
        <v>3018</v>
      </c>
      <c r="V14" s="105">
        <v>2864</v>
      </c>
      <c r="W14" s="123">
        <v>2864</v>
      </c>
      <c r="X14" s="131">
        <f t="shared" si="0"/>
        <v>1.2425897035881435</v>
      </c>
      <c r="Y14" s="118">
        <f t="shared" si="1"/>
        <v>28.469083490269931</v>
      </c>
      <c r="Z14" s="80">
        <f t="shared" si="2"/>
        <v>0.98016336056009334</v>
      </c>
      <c r="AA14" s="118">
        <f t="shared" si="3"/>
        <v>55.981150793650798</v>
      </c>
      <c r="AB14" s="80">
        <f t="shared" si="4"/>
        <v>1.0145669291338584</v>
      </c>
      <c r="AC14" s="118">
        <f t="shared" si="7"/>
        <v>53.43277066356228</v>
      </c>
      <c r="AD14" s="80">
        <f t="shared" si="5"/>
        <v>1.0232974910394266</v>
      </c>
      <c r="AE14" s="118">
        <f t="shared" si="8"/>
        <v>41.608024199968163</v>
      </c>
      <c r="AF14" s="80">
        <f t="shared" si="6"/>
        <v>1.0823632130384169</v>
      </c>
      <c r="AG14" s="118">
        <f t="shared" si="9"/>
        <v>40.155187646448738</v>
      </c>
    </row>
    <row r="15" spans="2:33" s="81" customFormat="1" ht="18" customHeight="1">
      <c r="B15" s="196"/>
      <c r="C15" s="86" t="s">
        <v>22</v>
      </c>
      <c r="D15" s="109">
        <v>125</v>
      </c>
      <c r="E15" s="109">
        <v>96</v>
      </c>
      <c r="F15" s="109">
        <v>86</v>
      </c>
      <c r="G15" s="109">
        <v>120</v>
      </c>
      <c r="H15" s="109">
        <v>427</v>
      </c>
      <c r="I15" s="106">
        <v>115</v>
      </c>
      <c r="J15" s="106"/>
      <c r="K15" s="106">
        <v>115</v>
      </c>
      <c r="L15" s="106"/>
      <c r="M15" s="106">
        <v>90</v>
      </c>
      <c r="N15" s="106"/>
      <c r="O15" s="106">
        <v>100</v>
      </c>
      <c r="P15" s="106">
        <v>0</v>
      </c>
      <c r="Q15" s="106">
        <v>420</v>
      </c>
      <c r="R15" s="106"/>
      <c r="S15" s="105">
        <v>164</v>
      </c>
      <c r="T15" s="105">
        <v>145</v>
      </c>
      <c r="U15" s="105">
        <v>141</v>
      </c>
      <c r="V15" s="105">
        <v>161</v>
      </c>
      <c r="W15" s="123">
        <v>161</v>
      </c>
      <c r="X15" s="131">
        <f t="shared" si="0"/>
        <v>0.92</v>
      </c>
      <c r="Y15" s="118">
        <f t="shared" si="1"/>
        <v>130.13043478260869</v>
      </c>
      <c r="Z15" s="80">
        <f t="shared" si="2"/>
        <v>1.1979166666666667</v>
      </c>
      <c r="AA15" s="118">
        <f t="shared" si="3"/>
        <v>115.05434782608697</v>
      </c>
      <c r="AB15" s="80">
        <f t="shared" si="4"/>
        <v>1.0465116279069768</v>
      </c>
      <c r="AC15" s="118">
        <f t="shared" si="7"/>
        <v>142.95833333333334</v>
      </c>
      <c r="AD15" s="80">
        <f t="shared" si="5"/>
        <v>0.83333333333333337</v>
      </c>
      <c r="AE15" s="118">
        <f t="shared" si="8"/>
        <v>146.91250000000002</v>
      </c>
      <c r="AF15" s="80">
        <f t="shared" si="6"/>
        <v>0.98360655737704916</v>
      </c>
      <c r="AG15" s="118">
        <f t="shared" si="9"/>
        <v>139.91666666666669</v>
      </c>
    </row>
    <row r="16" spans="2:33" s="81" customFormat="1" ht="18" customHeight="1">
      <c r="B16" s="196"/>
      <c r="C16" s="86" t="s">
        <v>23</v>
      </c>
      <c r="D16" s="109">
        <v>115116</v>
      </c>
      <c r="E16" s="109">
        <v>110505</v>
      </c>
      <c r="F16" s="109">
        <v>102438</v>
      </c>
      <c r="G16" s="109">
        <v>121262</v>
      </c>
      <c r="H16" s="109">
        <v>449321</v>
      </c>
      <c r="I16" s="106">
        <v>115015</v>
      </c>
      <c r="J16" s="106"/>
      <c r="K16" s="106">
        <v>108727</v>
      </c>
      <c r="L16" s="106"/>
      <c r="M16" s="106">
        <v>98481</v>
      </c>
      <c r="N16" s="106"/>
      <c r="O16" s="106">
        <v>124937</v>
      </c>
      <c r="P16" s="106">
        <v>0</v>
      </c>
      <c r="Q16" s="106">
        <v>447160</v>
      </c>
      <c r="R16" s="106"/>
      <c r="S16" s="105">
        <v>38322</v>
      </c>
      <c r="T16" s="105">
        <v>37871</v>
      </c>
      <c r="U16" s="105">
        <v>41503</v>
      </c>
      <c r="V16" s="105">
        <v>32551</v>
      </c>
      <c r="W16" s="123">
        <v>32551</v>
      </c>
      <c r="X16" s="131">
        <f t="shared" si="0"/>
        <v>0.99912262413565445</v>
      </c>
      <c r="Y16" s="118">
        <f t="shared" si="1"/>
        <v>30.403708211972354</v>
      </c>
      <c r="Z16" s="80">
        <f t="shared" si="2"/>
        <v>0.98391023030632097</v>
      </c>
      <c r="AA16" s="118">
        <f t="shared" si="3"/>
        <v>31.783538127604</v>
      </c>
      <c r="AB16" s="80">
        <f t="shared" si="4"/>
        <v>0.96137175657470864</v>
      </c>
      <c r="AC16" s="118">
        <f t="shared" si="7"/>
        <v>38.455628496867419</v>
      </c>
      <c r="AD16" s="80">
        <f t="shared" si="5"/>
        <v>1.0303062789662054</v>
      </c>
      <c r="AE16" s="118">
        <f t="shared" si="8"/>
        <v>23.774212202950284</v>
      </c>
      <c r="AF16" s="80">
        <f t="shared" si="6"/>
        <v>0.99519052080806369</v>
      </c>
      <c r="AG16" s="118">
        <f t="shared" si="9"/>
        <v>26.57016504159585</v>
      </c>
    </row>
    <row r="17" spans="2:33" s="85" customFormat="1" ht="24.95" customHeight="1">
      <c r="B17" s="196"/>
      <c r="C17" s="88" t="s">
        <v>24</v>
      </c>
      <c r="D17" s="89">
        <f>SUM(D8:D16)</f>
        <v>202245</v>
      </c>
      <c r="E17" s="89">
        <f>SUM(E8:E16)</f>
        <v>183306</v>
      </c>
      <c r="F17" s="89">
        <f>SUM(F8:F16)</f>
        <v>168092</v>
      </c>
      <c r="G17" s="89">
        <f>SUM(G8:G16)</f>
        <v>203866</v>
      </c>
      <c r="H17" s="89">
        <f t="shared" ref="H17:W17" si="27">SUM(H8:H16)</f>
        <v>757509</v>
      </c>
      <c r="I17" s="89">
        <f t="shared" si="27"/>
        <v>210074</v>
      </c>
      <c r="J17" s="89">
        <f t="shared" si="27"/>
        <v>2856</v>
      </c>
      <c r="K17" s="89">
        <f t="shared" si="27"/>
        <v>191261</v>
      </c>
      <c r="L17" s="89">
        <f t="shared" si="27"/>
        <v>547</v>
      </c>
      <c r="M17" s="89">
        <f t="shared" si="27"/>
        <v>164718</v>
      </c>
      <c r="N17" s="89">
        <f t="shared" si="27"/>
        <v>15</v>
      </c>
      <c r="O17" s="89">
        <f t="shared" si="27"/>
        <v>212361</v>
      </c>
      <c r="P17" s="89">
        <f t="shared" si="27"/>
        <v>12</v>
      </c>
      <c r="Q17" s="89">
        <f t="shared" si="27"/>
        <v>778414</v>
      </c>
      <c r="R17" s="89">
        <f t="shared" si="27"/>
        <v>3430</v>
      </c>
      <c r="S17" s="89">
        <f t="shared" si="27"/>
        <v>322200</v>
      </c>
      <c r="T17" s="89">
        <f t="shared" si="27"/>
        <v>310250</v>
      </c>
      <c r="U17" s="89">
        <f t="shared" si="27"/>
        <v>313284</v>
      </c>
      <c r="V17" s="89">
        <f t="shared" si="27"/>
        <v>299629</v>
      </c>
      <c r="W17" s="124">
        <f t="shared" si="27"/>
        <v>299629</v>
      </c>
      <c r="X17" s="133">
        <f t="shared" si="0"/>
        <v>1.0387104749190339</v>
      </c>
      <c r="Y17" s="120">
        <f t="shared" si="1"/>
        <v>139.95425421518132</v>
      </c>
      <c r="Z17" s="90">
        <f t="shared" si="2"/>
        <v>1.043397379245633</v>
      </c>
      <c r="AA17" s="120">
        <f t="shared" si="3"/>
        <v>148.01926425146789</v>
      </c>
      <c r="AB17" s="90">
        <f t="shared" si="4"/>
        <v>0.97992765866311304</v>
      </c>
      <c r="AC17" s="120">
        <f t="shared" si="7"/>
        <v>173.55216187666193</v>
      </c>
      <c r="AD17" s="90">
        <f t="shared" si="5"/>
        <v>1.0416695280233095</v>
      </c>
      <c r="AE17" s="120">
        <f t="shared" si="8"/>
        <v>128.74843426994599</v>
      </c>
      <c r="AF17" s="90">
        <f t="shared" si="6"/>
        <v>1.0275970318504466</v>
      </c>
      <c r="AG17" s="120">
        <f t="shared" si="9"/>
        <v>140.49668299902109</v>
      </c>
    </row>
    <row r="18" spans="2:33" s="81" customFormat="1" ht="18" customHeight="1">
      <c r="B18" s="197" t="s">
        <v>25</v>
      </c>
      <c r="C18" s="86" t="s">
        <v>15</v>
      </c>
      <c r="D18" s="109">
        <v>167</v>
      </c>
      <c r="E18" s="109">
        <v>184</v>
      </c>
      <c r="F18" s="109">
        <v>117</v>
      </c>
      <c r="G18" s="109">
        <v>162</v>
      </c>
      <c r="H18" s="109">
        <v>630</v>
      </c>
      <c r="I18" s="106">
        <v>165</v>
      </c>
      <c r="J18" s="106"/>
      <c r="K18" s="106">
        <v>171</v>
      </c>
      <c r="L18" s="106">
        <v>25</v>
      </c>
      <c r="M18" s="106">
        <v>134</v>
      </c>
      <c r="N18" s="106"/>
      <c r="O18" s="106">
        <v>175</v>
      </c>
      <c r="P18" s="106">
        <v>0</v>
      </c>
      <c r="Q18" s="106">
        <v>645</v>
      </c>
      <c r="R18" s="106">
        <v>25</v>
      </c>
      <c r="S18" s="105">
        <v>714</v>
      </c>
      <c r="T18" s="105">
        <v>704</v>
      </c>
      <c r="U18" s="105">
        <v>701</v>
      </c>
      <c r="V18" s="110">
        <v>674</v>
      </c>
      <c r="W18" s="123">
        <v>674</v>
      </c>
      <c r="X18" s="131">
        <f t="shared" si="0"/>
        <v>0.9880239520958084</v>
      </c>
      <c r="Y18" s="118">
        <f t="shared" si="1"/>
        <v>394.86363636363637</v>
      </c>
      <c r="Z18" s="80">
        <f t="shared" si="2"/>
        <v>0.92934782608695654</v>
      </c>
      <c r="AA18" s="118">
        <f t="shared" si="3"/>
        <v>375.67251461988303</v>
      </c>
      <c r="AB18" s="80">
        <f t="shared" si="4"/>
        <v>1.1452991452991452</v>
      </c>
      <c r="AC18" s="118">
        <f t="shared" si="7"/>
        <v>477.36007462686564</v>
      </c>
      <c r="AD18" s="80">
        <f t="shared" si="5"/>
        <v>1.0802469135802468</v>
      </c>
      <c r="AE18" s="118">
        <f t="shared" si="8"/>
        <v>351.44285714285712</v>
      </c>
      <c r="AF18" s="80">
        <f t="shared" si="6"/>
        <v>1.0238095238095237</v>
      </c>
      <c r="AG18" s="118">
        <f t="shared" si="9"/>
        <v>381.41085271317826</v>
      </c>
    </row>
    <row r="19" spans="2:33" s="81" customFormat="1" ht="18" customHeight="1">
      <c r="B19" s="197"/>
      <c r="C19" s="86" t="s">
        <v>26</v>
      </c>
      <c r="D19" s="109">
        <v>1962</v>
      </c>
      <c r="E19" s="109">
        <v>1744</v>
      </c>
      <c r="F19" s="109">
        <v>1611</v>
      </c>
      <c r="G19" s="109">
        <v>1697</v>
      </c>
      <c r="H19" s="109">
        <v>7014</v>
      </c>
      <c r="I19" s="106">
        <v>1972</v>
      </c>
      <c r="J19" s="106">
        <v>52</v>
      </c>
      <c r="K19" s="106">
        <v>1838</v>
      </c>
      <c r="L19" s="106">
        <v>5</v>
      </c>
      <c r="M19" s="106">
        <v>1463</v>
      </c>
      <c r="N19" s="106">
        <v>1</v>
      </c>
      <c r="O19" s="106">
        <v>1850</v>
      </c>
      <c r="P19" s="106">
        <v>0</v>
      </c>
      <c r="Q19" s="106">
        <v>7123</v>
      </c>
      <c r="R19" s="106">
        <v>58</v>
      </c>
      <c r="S19" s="105">
        <v>1770</v>
      </c>
      <c r="T19" s="105">
        <v>1671</v>
      </c>
      <c r="U19" s="105">
        <v>1818</v>
      </c>
      <c r="V19" s="105">
        <v>1665</v>
      </c>
      <c r="W19" s="123">
        <v>1665</v>
      </c>
      <c r="X19" s="131">
        <f t="shared" si="0"/>
        <v>1.0050968399592253</v>
      </c>
      <c r="Y19" s="118">
        <f t="shared" si="1"/>
        <v>81.902890466531446</v>
      </c>
      <c r="Z19" s="80">
        <f t="shared" si="2"/>
        <v>1.0538990825688073</v>
      </c>
      <c r="AA19" s="118">
        <f t="shared" si="3"/>
        <v>82.959058759521213</v>
      </c>
      <c r="AB19" s="80">
        <f t="shared" si="4"/>
        <v>0.90813159528243326</v>
      </c>
      <c r="AC19" s="118">
        <f t="shared" si="7"/>
        <v>113.39200273410799</v>
      </c>
      <c r="AD19" s="80">
        <f t="shared" si="5"/>
        <v>1.0901591043017089</v>
      </c>
      <c r="AE19" s="118">
        <f t="shared" si="8"/>
        <v>82.125</v>
      </c>
      <c r="AF19" s="80">
        <f t="shared" si="6"/>
        <v>1.0155403478756773</v>
      </c>
      <c r="AG19" s="118">
        <f t="shared" si="9"/>
        <v>85.318685946932476</v>
      </c>
    </row>
    <row r="20" spans="2:33" s="85" customFormat="1" ht="18" customHeight="1">
      <c r="B20" s="197"/>
      <c r="C20" s="82" t="s">
        <v>16</v>
      </c>
      <c r="D20" s="91">
        <f>SUM(D18:D19)</f>
        <v>2129</v>
      </c>
      <c r="E20" s="91">
        <f t="shared" ref="E20:W20" si="28">SUM(E18:E19)</f>
        <v>1928</v>
      </c>
      <c r="F20" s="91">
        <f t="shared" si="28"/>
        <v>1728</v>
      </c>
      <c r="G20" s="91">
        <f t="shared" si="28"/>
        <v>1859</v>
      </c>
      <c r="H20" s="91">
        <f>SUM(H18:H19)</f>
        <v>7644</v>
      </c>
      <c r="I20" s="91">
        <f t="shared" si="28"/>
        <v>2137</v>
      </c>
      <c r="J20" s="91">
        <f t="shared" si="28"/>
        <v>52</v>
      </c>
      <c r="K20" s="91">
        <f t="shared" si="28"/>
        <v>2009</v>
      </c>
      <c r="L20" s="91">
        <f t="shared" si="28"/>
        <v>30</v>
      </c>
      <c r="M20" s="91">
        <f t="shared" si="28"/>
        <v>1597</v>
      </c>
      <c r="N20" s="91">
        <f t="shared" si="28"/>
        <v>1</v>
      </c>
      <c r="O20" s="91">
        <f t="shared" si="28"/>
        <v>2025</v>
      </c>
      <c r="P20" s="91">
        <f t="shared" si="28"/>
        <v>0</v>
      </c>
      <c r="Q20" s="91">
        <f t="shared" si="28"/>
        <v>7768</v>
      </c>
      <c r="R20" s="91">
        <f t="shared" si="28"/>
        <v>83</v>
      </c>
      <c r="S20" s="91">
        <f t="shared" si="28"/>
        <v>2484</v>
      </c>
      <c r="T20" s="91">
        <f t="shared" si="28"/>
        <v>2375</v>
      </c>
      <c r="U20" s="91">
        <f t="shared" si="28"/>
        <v>2519</v>
      </c>
      <c r="V20" s="91">
        <f t="shared" si="28"/>
        <v>2339</v>
      </c>
      <c r="W20" s="125">
        <f t="shared" si="28"/>
        <v>2339</v>
      </c>
      <c r="X20" s="132">
        <f t="shared" si="0"/>
        <v>1.0037576326914044</v>
      </c>
      <c r="Y20" s="119">
        <f t="shared" si="1"/>
        <v>106.06691623771643</v>
      </c>
      <c r="Z20" s="84">
        <f t="shared" si="2"/>
        <v>1.0420124481327802</v>
      </c>
      <c r="AA20" s="119">
        <f t="shared" si="3"/>
        <v>107.87394225983076</v>
      </c>
      <c r="AB20" s="84">
        <f t="shared" si="4"/>
        <v>0.92418981481481477</v>
      </c>
      <c r="AC20" s="119">
        <f t="shared" si="7"/>
        <v>143.93159048215404</v>
      </c>
      <c r="AD20" s="84">
        <f t="shared" si="5"/>
        <v>1.0892953200645508</v>
      </c>
      <c r="AE20" s="119">
        <f t="shared" si="8"/>
        <v>105.39938271604939</v>
      </c>
      <c r="AF20" s="84">
        <f t="shared" si="6"/>
        <v>1.0162218733647306</v>
      </c>
      <c r="AG20" s="119">
        <f t="shared" si="9"/>
        <v>109.90409371781669</v>
      </c>
    </row>
    <row r="21" spans="2:33" s="81" customFormat="1" ht="18" customHeight="1">
      <c r="B21" s="197"/>
      <c r="C21" s="86" t="s">
        <v>27</v>
      </c>
      <c r="D21" s="109">
        <v>1614</v>
      </c>
      <c r="E21" s="109">
        <v>1318</v>
      </c>
      <c r="F21" s="109">
        <v>1330</v>
      </c>
      <c r="G21" s="109">
        <v>1438</v>
      </c>
      <c r="H21" s="109">
        <v>5700</v>
      </c>
      <c r="I21" s="106">
        <v>1561</v>
      </c>
      <c r="J21" s="106"/>
      <c r="K21" s="106">
        <v>1403</v>
      </c>
      <c r="L21" s="106"/>
      <c r="M21" s="106">
        <v>1322</v>
      </c>
      <c r="N21" s="106"/>
      <c r="O21" s="106">
        <v>1413</v>
      </c>
      <c r="P21" s="106">
        <v>0</v>
      </c>
      <c r="Q21" s="106">
        <v>5699</v>
      </c>
      <c r="R21" s="106"/>
      <c r="S21" s="105">
        <v>520</v>
      </c>
      <c r="T21" s="105">
        <v>435</v>
      </c>
      <c r="U21" s="105">
        <v>443</v>
      </c>
      <c r="V21" s="105">
        <v>468</v>
      </c>
      <c r="W21" s="123">
        <v>468</v>
      </c>
      <c r="X21" s="134">
        <f t="shared" si="0"/>
        <v>0.96716232961586124</v>
      </c>
      <c r="Y21" s="87">
        <f t="shared" si="1"/>
        <v>30.397181294042284</v>
      </c>
      <c r="Z21" s="92">
        <f t="shared" si="2"/>
        <v>1.0644916540212443</v>
      </c>
      <c r="AA21" s="87">
        <f t="shared" si="3"/>
        <v>28.292052744119744</v>
      </c>
      <c r="AB21" s="92">
        <f t="shared" si="4"/>
        <v>0.99398496240601508</v>
      </c>
      <c r="AC21" s="87">
        <f t="shared" si="7"/>
        <v>30.577723146747353</v>
      </c>
      <c r="AD21" s="92">
        <f t="shared" si="5"/>
        <v>0.98261474269819193</v>
      </c>
      <c r="AE21" s="87">
        <f t="shared" si="8"/>
        <v>30.222929936305732</v>
      </c>
      <c r="AF21" s="92">
        <f t="shared" si="6"/>
        <v>0.99982456140350873</v>
      </c>
      <c r="AG21" s="87">
        <f t="shared" si="9"/>
        <v>29.97367959291104</v>
      </c>
    </row>
    <row r="22" spans="2:33" s="81" customFormat="1" ht="18" customHeight="1">
      <c r="B22" s="197"/>
      <c r="C22" s="86" t="s">
        <v>28</v>
      </c>
      <c r="D22" s="109">
        <v>1519</v>
      </c>
      <c r="E22" s="109">
        <v>1607</v>
      </c>
      <c r="F22" s="109">
        <v>1546</v>
      </c>
      <c r="G22" s="109">
        <v>1765</v>
      </c>
      <c r="H22" s="109">
        <v>6437</v>
      </c>
      <c r="I22" s="106">
        <v>1669</v>
      </c>
      <c r="J22" s="106"/>
      <c r="K22" s="106">
        <v>1693</v>
      </c>
      <c r="L22" s="106">
        <v>4</v>
      </c>
      <c r="M22" s="106">
        <v>1669</v>
      </c>
      <c r="N22" s="106">
        <v>3</v>
      </c>
      <c r="O22" s="106">
        <v>1906</v>
      </c>
      <c r="P22" s="106">
        <v>7</v>
      </c>
      <c r="Q22" s="106">
        <v>6937</v>
      </c>
      <c r="R22" s="106">
        <v>14</v>
      </c>
      <c r="S22" s="105">
        <v>3644</v>
      </c>
      <c r="T22" s="105">
        <v>3673</v>
      </c>
      <c r="U22" s="105">
        <v>3547</v>
      </c>
      <c r="V22" s="105">
        <v>3399</v>
      </c>
      <c r="W22" s="123">
        <v>3399</v>
      </c>
      <c r="X22" s="134">
        <f t="shared" si="0"/>
        <v>1.0987491770901909</v>
      </c>
      <c r="Y22" s="87">
        <f t="shared" si="1"/>
        <v>199.23007789095269</v>
      </c>
      <c r="Z22" s="92">
        <f t="shared" si="2"/>
        <v>1.0535158680771624</v>
      </c>
      <c r="AA22" s="87">
        <f t="shared" si="3"/>
        <v>197.96884229178974</v>
      </c>
      <c r="AB22" s="92">
        <f t="shared" si="4"/>
        <v>1.0795601552393272</v>
      </c>
      <c r="AC22" s="87">
        <f t="shared" si="7"/>
        <v>193.92675254643498</v>
      </c>
      <c r="AD22" s="92">
        <f t="shared" si="5"/>
        <v>1.0798866855524079</v>
      </c>
      <c r="AE22" s="87">
        <f t="shared" si="8"/>
        <v>162.72757082896118</v>
      </c>
      <c r="AF22" s="92">
        <f t="shared" si="6"/>
        <v>1.0776759359950288</v>
      </c>
      <c r="AG22" s="87">
        <f t="shared" si="9"/>
        <v>178.84315986737784</v>
      </c>
    </row>
    <row r="23" spans="2:33" s="81" customFormat="1" ht="18" customHeight="1">
      <c r="B23" s="197"/>
      <c r="C23" s="86" t="s">
        <v>29</v>
      </c>
      <c r="D23" s="109">
        <v>416</v>
      </c>
      <c r="E23" s="109">
        <v>243</v>
      </c>
      <c r="F23" s="109">
        <v>267</v>
      </c>
      <c r="G23" s="109">
        <v>295</v>
      </c>
      <c r="H23" s="109">
        <v>1221</v>
      </c>
      <c r="I23" s="106">
        <v>391</v>
      </c>
      <c r="J23" s="106"/>
      <c r="K23" s="106">
        <v>293</v>
      </c>
      <c r="L23" s="106"/>
      <c r="M23" s="106">
        <v>280</v>
      </c>
      <c r="N23" s="106"/>
      <c r="O23" s="106">
        <v>308</v>
      </c>
      <c r="P23" s="106">
        <v>0</v>
      </c>
      <c r="Q23" s="106">
        <v>1272</v>
      </c>
      <c r="R23" s="106"/>
      <c r="S23" s="105">
        <v>322</v>
      </c>
      <c r="T23" s="105">
        <v>272</v>
      </c>
      <c r="U23" s="105">
        <v>259</v>
      </c>
      <c r="V23" s="105">
        <v>246</v>
      </c>
      <c r="W23" s="123">
        <v>246</v>
      </c>
      <c r="X23" s="134">
        <f t="shared" si="0"/>
        <v>0.93990384615384615</v>
      </c>
      <c r="Y23" s="87">
        <f t="shared" si="1"/>
        <v>75.147058823529406</v>
      </c>
      <c r="Z23" s="92">
        <f t="shared" si="2"/>
        <v>1.2057613168724279</v>
      </c>
      <c r="AA23" s="87">
        <f t="shared" si="3"/>
        <v>84.709897610921502</v>
      </c>
      <c r="AB23" s="92">
        <f t="shared" si="4"/>
        <v>1.0486891385767789</v>
      </c>
      <c r="AC23" s="87">
        <f t="shared" si="7"/>
        <v>84.40625</v>
      </c>
      <c r="AD23" s="92">
        <f t="shared" si="5"/>
        <v>1.0440677966101695</v>
      </c>
      <c r="AE23" s="87">
        <f t="shared" si="8"/>
        <v>72.881493506493499</v>
      </c>
      <c r="AF23" s="92">
        <f t="shared" si="6"/>
        <v>1.0417690417690417</v>
      </c>
      <c r="AG23" s="87">
        <f t="shared" si="9"/>
        <v>70.589622641509436</v>
      </c>
    </row>
    <row r="24" spans="2:33" s="81" customFormat="1" ht="18" customHeight="1">
      <c r="B24" s="197"/>
      <c r="C24" s="86" t="s">
        <v>30</v>
      </c>
      <c r="D24" s="109">
        <v>116</v>
      </c>
      <c r="E24" s="109">
        <v>204</v>
      </c>
      <c r="F24" s="109">
        <v>161</v>
      </c>
      <c r="G24" s="109">
        <v>196</v>
      </c>
      <c r="H24" s="109">
        <v>677</v>
      </c>
      <c r="I24" s="106">
        <v>150</v>
      </c>
      <c r="J24" s="106"/>
      <c r="K24" s="106">
        <v>168</v>
      </c>
      <c r="L24" s="106">
        <v>5</v>
      </c>
      <c r="M24" s="106">
        <v>132</v>
      </c>
      <c r="N24" s="106"/>
      <c r="O24" s="106">
        <v>208</v>
      </c>
      <c r="P24" s="106">
        <v>0</v>
      </c>
      <c r="Q24" s="106">
        <v>658</v>
      </c>
      <c r="R24" s="106">
        <v>5</v>
      </c>
      <c r="S24" s="105">
        <v>121</v>
      </c>
      <c r="T24" s="105">
        <v>154</v>
      </c>
      <c r="U24" s="105">
        <v>183</v>
      </c>
      <c r="V24" s="105">
        <v>164</v>
      </c>
      <c r="W24" s="123">
        <v>164</v>
      </c>
      <c r="X24" s="134">
        <f t="shared" si="0"/>
        <v>1.2931034482758621</v>
      </c>
      <c r="Y24" s="87">
        <f t="shared" si="1"/>
        <v>73.608333333333334</v>
      </c>
      <c r="Z24" s="92">
        <f t="shared" si="2"/>
        <v>0.82352941176470584</v>
      </c>
      <c r="AA24" s="87">
        <f t="shared" si="3"/>
        <v>83.645833333333329</v>
      </c>
      <c r="AB24" s="92">
        <f t="shared" si="4"/>
        <v>0.81987577639751552</v>
      </c>
      <c r="AC24" s="87">
        <f t="shared" si="7"/>
        <v>126.50568181818183</v>
      </c>
      <c r="AD24" s="92">
        <f t="shared" si="5"/>
        <v>1.0612244897959184</v>
      </c>
      <c r="AE24" s="87">
        <f t="shared" si="8"/>
        <v>71.947115384615387</v>
      </c>
      <c r="AF24" s="92">
        <f t="shared" si="6"/>
        <v>0.97193500738552441</v>
      </c>
      <c r="AG24" s="87">
        <f t="shared" si="9"/>
        <v>90.972644376899694</v>
      </c>
    </row>
    <row r="25" spans="2:33" s="81" customFormat="1" ht="18" customHeight="1">
      <c r="B25" s="197"/>
      <c r="C25" s="86" t="s">
        <v>31</v>
      </c>
      <c r="D25" s="109">
        <v>23</v>
      </c>
      <c r="E25" s="109">
        <v>16</v>
      </c>
      <c r="F25" s="109">
        <v>25</v>
      </c>
      <c r="G25" s="109">
        <v>40</v>
      </c>
      <c r="H25" s="109">
        <v>104</v>
      </c>
      <c r="I25" s="106">
        <v>27</v>
      </c>
      <c r="J25" s="106">
        <v>2</v>
      </c>
      <c r="K25" s="106">
        <v>11</v>
      </c>
      <c r="L25" s="106"/>
      <c r="M25" s="106">
        <v>27</v>
      </c>
      <c r="N25" s="106"/>
      <c r="O25" s="106">
        <v>29</v>
      </c>
      <c r="P25" s="106">
        <v>1</v>
      </c>
      <c r="Q25" s="106">
        <v>94</v>
      </c>
      <c r="R25" s="106">
        <v>3</v>
      </c>
      <c r="S25" s="105">
        <v>149</v>
      </c>
      <c r="T25" s="105">
        <v>146</v>
      </c>
      <c r="U25" s="105">
        <v>144</v>
      </c>
      <c r="V25" s="105">
        <v>156</v>
      </c>
      <c r="W25" s="123">
        <v>156</v>
      </c>
      <c r="X25" s="134">
        <f t="shared" si="0"/>
        <v>1.173913043478261</v>
      </c>
      <c r="Y25" s="87">
        <f t="shared" si="1"/>
        <v>503.56481481481478</v>
      </c>
      <c r="Z25" s="92">
        <f t="shared" si="2"/>
        <v>0.6875</v>
      </c>
      <c r="AA25" s="87">
        <f t="shared" si="3"/>
        <v>1211.1363636363637</v>
      </c>
      <c r="AB25" s="92">
        <f t="shared" si="4"/>
        <v>1.08</v>
      </c>
      <c r="AC25" s="87">
        <f t="shared" si="7"/>
        <v>486.66666666666663</v>
      </c>
      <c r="AD25" s="92">
        <f t="shared" si="5"/>
        <v>0.72499999999999998</v>
      </c>
      <c r="AE25" s="87">
        <f t="shared" si="8"/>
        <v>490.86206896551727</v>
      </c>
      <c r="AF25" s="92">
        <f t="shared" si="6"/>
        <v>0.90384615384615385</v>
      </c>
      <c r="AG25" s="87">
        <f t="shared" si="9"/>
        <v>605.74468085106378</v>
      </c>
    </row>
    <row r="26" spans="2:33" s="81" customFormat="1" ht="18" customHeight="1">
      <c r="B26" s="197"/>
      <c r="C26" s="86" t="s">
        <v>32</v>
      </c>
      <c r="D26" s="109">
        <v>13</v>
      </c>
      <c r="E26" s="109">
        <v>3</v>
      </c>
      <c r="F26" s="109">
        <v>2</v>
      </c>
      <c r="G26" s="109">
        <v>20</v>
      </c>
      <c r="H26" s="109">
        <v>38</v>
      </c>
      <c r="I26" s="106">
        <v>9</v>
      </c>
      <c r="J26" s="106"/>
      <c r="K26" s="106">
        <v>6</v>
      </c>
      <c r="L26" s="106"/>
      <c r="M26" s="106">
        <v>3</v>
      </c>
      <c r="N26" s="106"/>
      <c r="O26" s="106">
        <v>21</v>
      </c>
      <c r="P26" s="106"/>
      <c r="Q26" s="106">
        <v>39</v>
      </c>
      <c r="R26" s="106"/>
      <c r="S26" s="105">
        <v>149</v>
      </c>
      <c r="T26" s="105">
        <v>148</v>
      </c>
      <c r="U26" s="105">
        <v>147</v>
      </c>
      <c r="V26" s="105">
        <v>143</v>
      </c>
      <c r="W26" s="123">
        <v>143</v>
      </c>
      <c r="X26" s="134">
        <f t="shared" si="0"/>
        <v>0.69230769230769229</v>
      </c>
      <c r="Y26" s="87">
        <f t="shared" si="1"/>
        <v>1510.6944444444446</v>
      </c>
      <c r="Z26" s="92">
        <f t="shared" si="2"/>
        <v>2</v>
      </c>
      <c r="AA26" s="87">
        <f t="shared" si="3"/>
        <v>2250.8333333333335</v>
      </c>
      <c r="AB26" s="92">
        <f t="shared" si="4"/>
        <v>1.5</v>
      </c>
      <c r="AC26" s="87">
        <f t="shared" si="7"/>
        <v>4471.25</v>
      </c>
      <c r="AD26" s="92">
        <f t="shared" si="5"/>
        <v>1.05</v>
      </c>
      <c r="AE26" s="87">
        <f t="shared" si="8"/>
        <v>621.36904761904759</v>
      </c>
      <c r="AF26" s="92">
        <f t="shared" si="6"/>
        <v>1.0263157894736843</v>
      </c>
      <c r="AG26" s="87">
        <f t="shared" si="9"/>
        <v>1338.3333333333333</v>
      </c>
    </row>
    <row r="27" spans="2:33" s="81" customFormat="1" ht="18" customHeight="1">
      <c r="B27" s="197"/>
      <c r="C27" s="86" t="s">
        <v>33</v>
      </c>
      <c r="D27" s="109">
        <v>4640</v>
      </c>
      <c r="E27" s="109">
        <v>3733</v>
      </c>
      <c r="F27" s="109">
        <v>4053</v>
      </c>
      <c r="G27" s="109">
        <v>4205</v>
      </c>
      <c r="H27" s="109">
        <v>16631</v>
      </c>
      <c r="I27" s="106">
        <v>4703</v>
      </c>
      <c r="J27" s="106"/>
      <c r="K27" s="106">
        <v>3743</v>
      </c>
      <c r="L27" s="106"/>
      <c r="M27" s="106">
        <v>3917</v>
      </c>
      <c r="N27" s="106"/>
      <c r="O27" s="106">
        <v>4354</v>
      </c>
      <c r="P27" s="106">
        <v>0</v>
      </c>
      <c r="Q27" s="106">
        <v>16717</v>
      </c>
      <c r="R27" s="106"/>
      <c r="S27" s="105">
        <v>890</v>
      </c>
      <c r="T27" s="105">
        <v>881</v>
      </c>
      <c r="U27" s="105">
        <v>1017</v>
      </c>
      <c r="V27" s="105">
        <v>867</v>
      </c>
      <c r="W27" s="123">
        <v>867</v>
      </c>
      <c r="X27" s="134">
        <f t="shared" si="0"/>
        <v>1.0135775862068965</v>
      </c>
      <c r="Y27" s="87">
        <f t="shared" si="1"/>
        <v>17.268233042738679</v>
      </c>
      <c r="Z27" s="92">
        <f t="shared" si="2"/>
        <v>1.0026788106080899</v>
      </c>
      <c r="AA27" s="87">
        <f t="shared" si="3"/>
        <v>21.477758482500668</v>
      </c>
      <c r="AB27" s="92">
        <f t="shared" si="4"/>
        <v>0.96644460893165551</v>
      </c>
      <c r="AC27" s="87">
        <f t="shared" si="7"/>
        <v>23.69191983660965</v>
      </c>
      <c r="AD27" s="92">
        <f t="shared" si="5"/>
        <v>1.035434007134364</v>
      </c>
      <c r="AE27" s="87">
        <f t="shared" si="8"/>
        <v>18.170360587965092</v>
      </c>
      <c r="AF27" s="92">
        <f t="shared" si="6"/>
        <v>1.0051710660814142</v>
      </c>
      <c r="AG27" s="87">
        <f t="shared" si="9"/>
        <v>18.930131004366814</v>
      </c>
    </row>
    <row r="28" spans="2:33" s="81" customFormat="1" ht="18" customHeight="1">
      <c r="B28" s="197"/>
      <c r="C28" s="86" t="s">
        <v>34</v>
      </c>
      <c r="D28" s="109">
        <v>448</v>
      </c>
      <c r="E28" s="109">
        <v>428</v>
      </c>
      <c r="F28" s="109">
        <v>396</v>
      </c>
      <c r="G28" s="109">
        <v>431</v>
      </c>
      <c r="H28" s="109">
        <v>1703</v>
      </c>
      <c r="I28" s="106">
        <v>447</v>
      </c>
      <c r="J28" s="106"/>
      <c r="K28" s="106">
        <v>405</v>
      </c>
      <c r="L28" s="106"/>
      <c r="M28" s="106">
        <v>401</v>
      </c>
      <c r="N28" s="106"/>
      <c r="O28" s="106">
        <v>461</v>
      </c>
      <c r="P28" s="106">
        <v>0</v>
      </c>
      <c r="Q28" s="106">
        <v>1714</v>
      </c>
      <c r="R28" s="106"/>
      <c r="S28" s="105">
        <v>82</v>
      </c>
      <c r="T28" s="105">
        <v>106</v>
      </c>
      <c r="U28" s="105">
        <v>101</v>
      </c>
      <c r="V28" s="105">
        <v>70</v>
      </c>
      <c r="W28" s="123">
        <v>70</v>
      </c>
      <c r="X28" s="134">
        <f t="shared" si="0"/>
        <v>0.9977678571428571</v>
      </c>
      <c r="Y28" s="87">
        <f t="shared" si="1"/>
        <v>16.739373601789708</v>
      </c>
      <c r="Z28" s="92">
        <f t="shared" si="2"/>
        <v>0.94626168224299068</v>
      </c>
      <c r="AA28" s="87">
        <f t="shared" si="3"/>
        <v>23.882716049382715</v>
      </c>
      <c r="AB28" s="92">
        <f t="shared" si="4"/>
        <v>1.0126262626262625</v>
      </c>
      <c r="AC28" s="87">
        <f t="shared" si="7"/>
        <v>22.983167082294266</v>
      </c>
      <c r="AD28" s="92">
        <f t="shared" si="5"/>
        <v>1.0696055684454757</v>
      </c>
      <c r="AE28" s="87">
        <f t="shared" si="8"/>
        <v>13.855748373101951</v>
      </c>
      <c r="AF28" s="92">
        <f t="shared" si="6"/>
        <v>1.0064591896652966</v>
      </c>
      <c r="AG28" s="87">
        <f t="shared" si="9"/>
        <v>14.906651108518087</v>
      </c>
    </row>
    <row r="29" spans="2:33" s="81" customFormat="1" ht="18" customHeight="1">
      <c r="B29" s="197"/>
      <c r="C29" s="86" t="s">
        <v>35</v>
      </c>
      <c r="D29" s="109">
        <v>20418</v>
      </c>
      <c r="E29" s="109">
        <v>18005</v>
      </c>
      <c r="F29" s="109">
        <v>15049</v>
      </c>
      <c r="G29" s="109">
        <v>17650</v>
      </c>
      <c r="H29" s="109">
        <v>71122</v>
      </c>
      <c r="I29" s="106">
        <v>20397</v>
      </c>
      <c r="J29" s="106">
        <v>1300</v>
      </c>
      <c r="K29" s="106">
        <v>20348</v>
      </c>
      <c r="L29" s="106">
        <v>501</v>
      </c>
      <c r="M29" s="106">
        <v>15053</v>
      </c>
      <c r="N29" s="106">
        <v>401</v>
      </c>
      <c r="O29" s="106">
        <v>18276</v>
      </c>
      <c r="P29" s="106">
        <v>1450</v>
      </c>
      <c r="Q29" s="106">
        <v>74074</v>
      </c>
      <c r="R29" s="106">
        <v>3652</v>
      </c>
      <c r="S29" s="105">
        <v>57606</v>
      </c>
      <c r="T29" s="105">
        <v>54762</v>
      </c>
      <c r="U29" s="105">
        <v>54357</v>
      </c>
      <c r="V29" s="105">
        <v>52284</v>
      </c>
      <c r="W29" s="123">
        <v>52284</v>
      </c>
      <c r="X29" s="134">
        <f t="shared" si="0"/>
        <v>0.99897149573905375</v>
      </c>
      <c r="Y29" s="87">
        <f t="shared" si="1"/>
        <v>257.71179585233119</v>
      </c>
      <c r="Z29" s="92">
        <f t="shared" si="2"/>
        <v>1.1301305193001945</v>
      </c>
      <c r="AA29" s="87">
        <f t="shared" si="3"/>
        <v>245.57855808924711</v>
      </c>
      <c r="AB29" s="92">
        <f t="shared" si="4"/>
        <v>1.0002657983919196</v>
      </c>
      <c r="AC29" s="87">
        <f t="shared" si="7"/>
        <v>329.50749020128876</v>
      </c>
      <c r="AD29" s="92">
        <f t="shared" si="5"/>
        <v>1.0354674220963174</v>
      </c>
      <c r="AE29" s="87">
        <f t="shared" si="8"/>
        <v>261.04809586342748</v>
      </c>
      <c r="AF29" s="92">
        <f t="shared" si="6"/>
        <v>1.0415061443716431</v>
      </c>
      <c r="AG29" s="87">
        <f t="shared" si="9"/>
        <v>257.62966762966767</v>
      </c>
    </row>
    <row r="30" spans="2:33" s="85" customFormat="1" ht="18" customHeight="1">
      <c r="B30" s="197"/>
      <c r="C30" s="82" t="s">
        <v>36</v>
      </c>
      <c r="D30" s="91">
        <f>SUM(D28:D29)</f>
        <v>20866</v>
      </c>
      <c r="E30" s="91">
        <f>SUM(E28:E29)</f>
        <v>18433</v>
      </c>
      <c r="F30" s="91">
        <f t="shared" ref="F30:W30" si="29">SUM(F28:F29)</f>
        <v>15445</v>
      </c>
      <c r="G30" s="91">
        <f t="shared" si="29"/>
        <v>18081</v>
      </c>
      <c r="H30" s="91">
        <f t="shared" si="29"/>
        <v>72825</v>
      </c>
      <c r="I30" s="91">
        <f t="shared" si="29"/>
        <v>20844</v>
      </c>
      <c r="J30" s="91">
        <f t="shared" si="29"/>
        <v>1300</v>
      </c>
      <c r="K30" s="91">
        <f t="shared" si="29"/>
        <v>20753</v>
      </c>
      <c r="L30" s="91">
        <f t="shared" si="29"/>
        <v>501</v>
      </c>
      <c r="M30" s="91">
        <f t="shared" si="29"/>
        <v>15454</v>
      </c>
      <c r="N30" s="91">
        <f t="shared" si="29"/>
        <v>401</v>
      </c>
      <c r="O30" s="91">
        <f t="shared" si="29"/>
        <v>18737</v>
      </c>
      <c r="P30" s="91">
        <f t="shared" si="29"/>
        <v>1450</v>
      </c>
      <c r="Q30" s="91">
        <f t="shared" si="29"/>
        <v>75788</v>
      </c>
      <c r="R30" s="91">
        <f t="shared" si="29"/>
        <v>3652</v>
      </c>
      <c r="S30" s="91">
        <f t="shared" si="29"/>
        <v>57688</v>
      </c>
      <c r="T30" s="91">
        <f t="shared" si="29"/>
        <v>54868</v>
      </c>
      <c r="U30" s="91">
        <f t="shared" si="29"/>
        <v>54458</v>
      </c>
      <c r="V30" s="91">
        <f t="shared" si="29"/>
        <v>52354</v>
      </c>
      <c r="W30" s="125">
        <f t="shared" si="29"/>
        <v>52354</v>
      </c>
      <c r="X30" s="135">
        <f t="shared" si="0"/>
        <v>0.99894565321575768</v>
      </c>
      <c r="Y30" s="91">
        <f t="shared" si="1"/>
        <v>252.54413740165037</v>
      </c>
      <c r="Z30" s="93">
        <f t="shared" si="2"/>
        <v>1.1258612271469648</v>
      </c>
      <c r="AA30" s="91">
        <f t="shared" si="3"/>
        <v>241.25210812894522</v>
      </c>
      <c r="AB30" s="93">
        <f t="shared" si="4"/>
        <v>1.0005827128520557</v>
      </c>
      <c r="AC30" s="91">
        <f t="shared" si="7"/>
        <v>321.55380484017081</v>
      </c>
      <c r="AD30" s="93">
        <f t="shared" si="5"/>
        <v>1.036281179138322</v>
      </c>
      <c r="AE30" s="91">
        <f t="shared" si="8"/>
        <v>254.96624326199498</v>
      </c>
      <c r="AF30" s="93">
        <f t="shared" si="6"/>
        <v>1.0406865774116032</v>
      </c>
      <c r="AG30" s="91">
        <f t="shared" si="9"/>
        <v>252.1403124505199</v>
      </c>
    </row>
    <row r="31" spans="2:33" s="85" customFormat="1" ht="24.95" customHeight="1">
      <c r="B31" s="197"/>
      <c r="C31" s="88" t="s">
        <v>24</v>
      </c>
      <c r="D31" s="89">
        <f>SUM(D20:D29)</f>
        <v>31336</v>
      </c>
      <c r="E31" s="89">
        <f t="shared" ref="E31:T31" si="30">SUM(E20:E29)</f>
        <v>27485</v>
      </c>
      <c r="F31" s="89">
        <f t="shared" si="30"/>
        <v>24557</v>
      </c>
      <c r="G31" s="89">
        <f t="shared" si="30"/>
        <v>27899</v>
      </c>
      <c r="H31" s="89">
        <f t="shared" si="30"/>
        <v>111277</v>
      </c>
      <c r="I31" s="89">
        <f t="shared" si="30"/>
        <v>31491</v>
      </c>
      <c r="J31" s="89">
        <f t="shared" si="30"/>
        <v>1354</v>
      </c>
      <c r="K31" s="89">
        <f t="shared" si="30"/>
        <v>30079</v>
      </c>
      <c r="L31" s="89">
        <f t="shared" si="30"/>
        <v>540</v>
      </c>
      <c r="M31" s="89">
        <f t="shared" si="30"/>
        <v>24401</v>
      </c>
      <c r="N31" s="89">
        <f t="shared" si="30"/>
        <v>405</v>
      </c>
      <c r="O31" s="89">
        <f t="shared" si="30"/>
        <v>29001</v>
      </c>
      <c r="P31" s="89">
        <f t="shared" si="30"/>
        <v>1458</v>
      </c>
      <c r="Q31" s="89">
        <f>SUM(Q20:Q29)</f>
        <v>114972</v>
      </c>
      <c r="R31" s="89">
        <f>SUM(R20:R29)</f>
        <v>3757</v>
      </c>
      <c r="S31" s="89">
        <f t="shared" si="30"/>
        <v>65967</v>
      </c>
      <c r="T31" s="89">
        <f t="shared" si="30"/>
        <v>62952</v>
      </c>
      <c r="U31" s="89">
        <f>SUM(U20:U29)</f>
        <v>62717</v>
      </c>
      <c r="V31" s="89">
        <v>60136</v>
      </c>
      <c r="W31" s="124">
        <v>60136</v>
      </c>
      <c r="X31" s="136">
        <f t="shared" si="0"/>
        <v>1.0049463875414859</v>
      </c>
      <c r="Y31" s="89">
        <f t="shared" si="1"/>
        <v>191.14949509383635</v>
      </c>
      <c r="Z31" s="94">
        <f t="shared" si="2"/>
        <v>1.0943787520465709</v>
      </c>
      <c r="AA31" s="89">
        <f t="shared" si="3"/>
        <v>190.97609627979654</v>
      </c>
      <c r="AB31" s="94">
        <f t="shared" si="4"/>
        <v>0.99364743250397036</v>
      </c>
      <c r="AC31" s="89">
        <f t="shared" si="7"/>
        <v>234.53654563337568</v>
      </c>
      <c r="AD31" s="94">
        <f t="shared" si="5"/>
        <v>1.0394996236424245</v>
      </c>
      <c r="AE31" s="89">
        <f t="shared" si="8"/>
        <v>189.21450984448813</v>
      </c>
      <c r="AF31" s="94">
        <f t="shared" si="6"/>
        <v>1.0332054243015178</v>
      </c>
      <c r="AG31" s="89">
        <f t="shared" si="9"/>
        <v>190.9129179278433</v>
      </c>
    </row>
    <row r="32" spans="2:33" s="81" customFormat="1" ht="18" customHeight="1">
      <c r="B32" s="227" t="s">
        <v>37</v>
      </c>
      <c r="C32" s="79" t="s">
        <v>38</v>
      </c>
      <c r="D32" s="109">
        <v>5877</v>
      </c>
      <c r="E32" s="109">
        <v>5324</v>
      </c>
      <c r="F32" s="109">
        <v>4707</v>
      </c>
      <c r="G32" s="109">
        <v>5295</v>
      </c>
      <c r="H32" s="109">
        <v>21203</v>
      </c>
      <c r="I32" s="106">
        <v>6646</v>
      </c>
      <c r="J32" s="106">
        <v>674</v>
      </c>
      <c r="K32" s="106">
        <v>6097</v>
      </c>
      <c r="L32" s="106"/>
      <c r="M32" s="106">
        <v>4546</v>
      </c>
      <c r="N32" s="106"/>
      <c r="O32" s="106">
        <v>6163</v>
      </c>
      <c r="P32" s="106">
        <v>0</v>
      </c>
      <c r="Q32" s="106">
        <v>23452</v>
      </c>
      <c r="R32" s="106">
        <v>674</v>
      </c>
      <c r="S32" s="106">
        <v>20677</v>
      </c>
      <c r="T32" s="106">
        <v>21542</v>
      </c>
      <c r="U32" s="106">
        <v>21703</v>
      </c>
      <c r="V32" s="106">
        <v>20835</v>
      </c>
      <c r="W32" s="126">
        <v>20835</v>
      </c>
      <c r="X32" s="134">
        <f t="shared" si="0"/>
        <v>1.1308490726561171</v>
      </c>
      <c r="Y32" s="87">
        <f t="shared" si="1"/>
        <v>283.89651670177551</v>
      </c>
      <c r="Z32" s="92">
        <f t="shared" si="2"/>
        <v>1.1451915852742298</v>
      </c>
      <c r="AA32" s="87">
        <f t="shared" si="3"/>
        <v>322.40569132360179</v>
      </c>
      <c r="AB32" s="92">
        <f t="shared" si="4"/>
        <v>0.9657956235394094</v>
      </c>
      <c r="AC32" s="87">
        <f t="shared" si="7"/>
        <v>435.63544874615042</v>
      </c>
      <c r="AD32" s="92">
        <f t="shared" si="5"/>
        <v>1.1639282341831918</v>
      </c>
      <c r="AE32" s="87">
        <f t="shared" si="8"/>
        <v>308.48511276975501</v>
      </c>
      <c r="AF32" s="92">
        <f t="shared" si="6"/>
        <v>1.1060698957694666</v>
      </c>
      <c r="AG32" s="87">
        <f t="shared" si="9"/>
        <v>324.26978509295583</v>
      </c>
    </row>
    <row r="33" spans="2:37" s="81" customFormat="1" ht="18" customHeight="1">
      <c r="B33" s="228"/>
      <c r="C33" s="79" t="s">
        <v>18</v>
      </c>
      <c r="D33" s="109">
        <v>497</v>
      </c>
      <c r="E33" s="109">
        <v>636</v>
      </c>
      <c r="F33" s="109">
        <v>436</v>
      </c>
      <c r="G33" s="109">
        <v>650</v>
      </c>
      <c r="H33" s="109">
        <v>2219</v>
      </c>
      <c r="I33" s="106">
        <v>938</v>
      </c>
      <c r="J33" s="106">
        <v>0</v>
      </c>
      <c r="K33" s="106">
        <v>1009</v>
      </c>
      <c r="L33" s="106"/>
      <c r="M33" s="106">
        <v>488</v>
      </c>
      <c r="N33" s="106"/>
      <c r="O33" s="106">
        <v>248</v>
      </c>
      <c r="P33" s="106">
        <v>0</v>
      </c>
      <c r="Q33" s="106">
        <v>2683</v>
      </c>
      <c r="R33" s="106"/>
      <c r="S33" s="106">
        <v>1265</v>
      </c>
      <c r="T33" s="106">
        <v>892</v>
      </c>
      <c r="U33" s="106">
        <v>840</v>
      </c>
      <c r="V33" s="106">
        <v>1241</v>
      </c>
      <c r="W33" s="126">
        <v>1241</v>
      </c>
      <c r="X33" s="134">
        <f t="shared" si="0"/>
        <v>1.8873239436619718</v>
      </c>
      <c r="Y33" s="87">
        <f t="shared" si="1"/>
        <v>123.0610341151386</v>
      </c>
      <c r="Z33" s="92">
        <f t="shared" si="2"/>
        <v>1.5864779874213837</v>
      </c>
      <c r="AA33" s="87">
        <f t="shared" si="3"/>
        <v>80.668979187314179</v>
      </c>
      <c r="AB33" s="92">
        <f t="shared" si="4"/>
        <v>1.1192660550458715</v>
      </c>
      <c r="AC33" s="87">
        <f t="shared" si="7"/>
        <v>157.06967213114754</v>
      </c>
      <c r="AD33" s="92">
        <f t="shared" si="5"/>
        <v>0.38153846153846155</v>
      </c>
      <c r="AE33" s="87">
        <f t="shared" si="8"/>
        <v>456.61794354838707</v>
      </c>
      <c r="AF33" s="92">
        <f t="shared" si="6"/>
        <v>1.2091031996394772</v>
      </c>
      <c r="AG33" s="87">
        <f t="shared" si="9"/>
        <v>168.82780469623555</v>
      </c>
    </row>
    <row r="34" spans="2:37" s="81" customFormat="1" ht="18" customHeight="1">
      <c r="B34" s="228"/>
      <c r="C34" s="79" t="s">
        <v>39</v>
      </c>
      <c r="D34" s="109">
        <v>317</v>
      </c>
      <c r="E34" s="109">
        <v>336</v>
      </c>
      <c r="F34" s="109">
        <v>307</v>
      </c>
      <c r="G34" s="109">
        <v>375</v>
      </c>
      <c r="H34" s="109">
        <v>1335</v>
      </c>
      <c r="I34" s="106">
        <v>333</v>
      </c>
      <c r="J34" s="106">
        <v>0</v>
      </c>
      <c r="K34" s="106">
        <v>327</v>
      </c>
      <c r="L34" s="106"/>
      <c r="M34" s="106">
        <v>325</v>
      </c>
      <c r="N34" s="106"/>
      <c r="O34" s="106">
        <v>342</v>
      </c>
      <c r="P34" s="106">
        <v>0</v>
      </c>
      <c r="Q34" s="106">
        <v>1327</v>
      </c>
      <c r="R34" s="106"/>
      <c r="S34" s="106">
        <v>303</v>
      </c>
      <c r="T34" s="106">
        <v>369</v>
      </c>
      <c r="U34" s="106">
        <v>351</v>
      </c>
      <c r="V34" s="106">
        <v>384</v>
      </c>
      <c r="W34" s="126">
        <v>384</v>
      </c>
      <c r="X34" s="134">
        <f t="shared" si="0"/>
        <v>1.0504731861198737</v>
      </c>
      <c r="Y34" s="87">
        <f t="shared" si="1"/>
        <v>83.02927927927928</v>
      </c>
      <c r="Z34" s="92">
        <f t="shared" si="2"/>
        <v>0.9732142857142857</v>
      </c>
      <c r="AA34" s="87">
        <f t="shared" si="3"/>
        <v>102.97018348623853</v>
      </c>
      <c r="AB34" s="92">
        <f t="shared" si="4"/>
        <v>1.0586319218241043</v>
      </c>
      <c r="AC34" s="87">
        <f t="shared" si="7"/>
        <v>98.550000000000011</v>
      </c>
      <c r="AD34" s="92">
        <f t="shared" si="5"/>
        <v>0.91200000000000003</v>
      </c>
      <c r="AE34" s="87">
        <f t="shared" si="8"/>
        <v>102.45614035087719</v>
      </c>
      <c r="AF34" s="92">
        <f t="shared" si="6"/>
        <v>0.99400749063670413</v>
      </c>
      <c r="AG34" s="87">
        <f t="shared" si="9"/>
        <v>105.62170308967596</v>
      </c>
    </row>
    <row r="35" spans="2:37" s="81" customFormat="1" ht="18" customHeight="1">
      <c r="B35" s="228"/>
      <c r="C35" s="79" t="s">
        <v>40</v>
      </c>
      <c r="D35" s="109">
        <v>501</v>
      </c>
      <c r="E35" s="109">
        <v>504</v>
      </c>
      <c r="F35" s="109">
        <v>2325</v>
      </c>
      <c r="G35" s="109">
        <v>16213</v>
      </c>
      <c r="H35" s="109">
        <v>19543</v>
      </c>
      <c r="I35" s="106">
        <v>1146</v>
      </c>
      <c r="J35" s="106">
        <v>0</v>
      </c>
      <c r="K35" s="106">
        <v>647</v>
      </c>
      <c r="L35" s="106"/>
      <c r="M35" s="106">
        <v>736</v>
      </c>
      <c r="N35" s="106"/>
      <c r="O35" s="106">
        <v>2726</v>
      </c>
      <c r="P35" s="106">
        <v>0</v>
      </c>
      <c r="Q35" s="106">
        <v>5255</v>
      </c>
      <c r="R35" s="106"/>
      <c r="S35" s="106">
        <v>3851</v>
      </c>
      <c r="T35" s="106">
        <v>3701</v>
      </c>
      <c r="U35" s="106">
        <v>5290</v>
      </c>
      <c r="V35" s="106">
        <v>18776</v>
      </c>
      <c r="W35" s="126">
        <v>18776</v>
      </c>
      <c r="X35" s="134">
        <f t="shared" si="0"/>
        <v>2.2874251497005988</v>
      </c>
      <c r="Y35" s="87">
        <f t="shared" si="1"/>
        <v>306.63503490401393</v>
      </c>
      <c r="Z35" s="92">
        <f t="shared" si="2"/>
        <v>1.2837301587301588</v>
      </c>
      <c r="AA35" s="87">
        <f t="shared" si="3"/>
        <v>521.97256568778982</v>
      </c>
      <c r="AB35" s="92">
        <f t="shared" si="4"/>
        <v>0.31655913978494626</v>
      </c>
      <c r="AC35" s="87">
        <f t="shared" si="7"/>
        <v>655.859375</v>
      </c>
      <c r="AD35" s="92">
        <f t="shared" si="5"/>
        <v>0.16813668044162092</v>
      </c>
      <c r="AE35" s="87">
        <f t="shared" si="8"/>
        <v>628.50696991929567</v>
      </c>
      <c r="AF35" s="92">
        <f t="shared" si="6"/>
        <v>0.26889423322928924</v>
      </c>
      <c r="AG35" s="87">
        <f t="shared" si="9"/>
        <v>1304.1370123691722</v>
      </c>
    </row>
    <row r="36" spans="2:37" s="81" customFormat="1" ht="18" customHeight="1">
      <c r="B36" s="228"/>
      <c r="C36" s="79" t="s">
        <v>41</v>
      </c>
      <c r="D36" s="109">
        <v>187</v>
      </c>
      <c r="E36" s="109">
        <v>205</v>
      </c>
      <c r="F36" s="109">
        <v>144</v>
      </c>
      <c r="G36" s="109">
        <v>138</v>
      </c>
      <c r="H36" s="109">
        <v>674</v>
      </c>
      <c r="I36" s="106">
        <v>244</v>
      </c>
      <c r="J36" s="106">
        <v>0</v>
      </c>
      <c r="K36" s="106">
        <v>266</v>
      </c>
      <c r="L36" s="106"/>
      <c r="M36" s="106">
        <v>211</v>
      </c>
      <c r="N36" s="106"/>
      <c r="O36" s="106">
        <v>175</v>
      </c>
      <c r="P36" s="106">
        <v>0</v>
      </c>
      <c r="Q36" s="106">
        <v>896</v>
      </c>
      <c r="R36" s="106"/>
      <c r="S36" s="106">
        <v>464</v>
      </c>
      <c r="T36" s="106">
        <v>409</v>
      </c>
      <c r="U36" s="106">
        <v>342</v>
      </c>
      <c r="V36" s="106">
        <v>305</v>
      </c>
      <c r="W36" s="126">
        <v>305</v>
      </c>
      <c r="X36" s="134">
        <f t="shared" si="0"/>
        <v>1.304812834224599</v>
      </c>
      <c r="Y36" s="87">
        <f t="shared" si="1"/>
        <v>173.52459016393442</v>
      </c>
      <c r="Z36" s="92">
        <f t="shared" si="2"/>
        <v>1.2975609756097561</v>
      </c>
      <c r="AA36" s="87">
        <f t="shared" si="3"/>
        <v>140.30545112781957</v>
      </c>
      <c r="AB36" s="92">
        <f t="shared" si="4"/>
        <v>1.4652777777777777</v>
      </c>
      <c r="AC36" s="87">
        <f t="shared" si="7"/>
        <v>147.90284360189574</v>
      </c>
      <c r="AD36" s="92">
        <f t="shared" si="5"/>
        <v>1.2681159420289856</v>
      </c>
      <c r="AE36" s="87">
        <f t="shared" si="8"/>
        <v>159.03571428571428</v>
      </c>
      <c r="AF36" s="92">
        <f t="shared" si="6"/>
        <v>1.3293768545994065</v>
      </c>
      <c r="AG36" s="87">
        <f t="shared" si="9"/>
        <v>124.24665178571428</v>
      </c>
    </row>
    <row r="37" spans="2:37" s="81" customFormat="1" ht="18" customHeight="1">
      <c r="B37" s="228"/>
      <c r="C37" s="79" t="s">
        <v>42</v>
      </c>
      <c r="D37" s="109">
        <v>713</v>
      </c>
      <c r="E37" s="109">
        <v>561</v>
      </c>
      <c r="F37" s="109">
        <v>466</v>
      </c>
      <c r="G37" s="109">
        <v>596</v>
      </c>
      <c r="H37" s="109">
        <v>2336</v>
      </c>
      <c r="I37" s="106">
        <v>655</v>
      </c>
      <c r="J37" s="106">
        <v>0</v>
      </c>
      <c r="K37" s="106">
        <v>567</v>
      </c>
      <c r="L37" s="106"/>
      <c r="M37" s="106">
        <v>439</v>
      </c>
      <c r="N37" s="106"/>
      <c r="O37" s="106">
        <v>655</v>
      </c>
      <c r="P37" s="106">
        <v>0</v>
      </c>
      <c r="Q37" s="106">
        <v>2316</v>
      </c>
      <c r="R37" s="106"/>
      <c r="S37" s="106">
        <v>130</v>
      </c>
      <c r="T37" s="106">
        <v>171</v>
      </c>
      <c r="U37" s="106">
        <v>198</v>
      </c>
      <c r="V37" s="106">
        <v>133</v>
      </c>
      <c r="W37" s="126">
        <v>133</v>
      </c>
      <c r="X37" s="134">
        <f t="shared" si="0"/>
        <v>0.9186535764375876</v>
      </c>
      <c r="Y37" s="87">
        <f t="shared" si="1"/>
        <v>18.110687022900763</v>
      </c>
      <c r="Z37" s="92">
        <f t="shared" si="2"/>
        <v>1.0106951871657754</v>
      </c>
      <c r="AA37" s="87">
        <f t="shared" si="3"/>
        <v>27.519841269841269</v>
      </c>
      <c r="AB37" s="92">
        <f t="shared" si="4"/>
        <v>0.94206008583690992</v>
      </c>
      <c r="AC37" s="87">
        <f t="shared" si="7"/>
        <v>41.156036446469251</v>
      </c>
      <c r="AD37" s="92">
        <f t="shared" si="5"/>
        <v>1.098993288590604</v>
      </c>
      <c r="AE37" s="87">
        <f t="shared" si="8"/>
        <v>18.528625954198475</v>
      </c>
      <c r="AF37" s="92">
        <f t="shared" si="6"/>
        <v>0.99143835616438358</v>
      </c>
      <c r="AG37" s="87">
        <f t="shared" si="9"/>
        <v>20.960708117443868</v>
      </c>
    </row>
    <row r="38" spans="2:37" s="81" customFormat="1" ht="18" customHeight="1">
      <c r="B38" s="228"/>
      <c r="C38" s="79" t="s">
        <v>22</v>
      </c>
      <c r="D38" s="109">
        <v>19</v>
      </c>
      <c r="E38" s="109">
        <v>11</v>
      </c>
      <c r="F38" s="109">
        <v>17</v>
      </c>
      <c r="G38" s="109">
        <v>20</v>
      </c>
      <c r="H38" s="109">
        <v>67</v>
      </c>
      <c r="I38" s="106">
        <v>22</v>
      </c>
      <c r="J38" s="106">
        <v>0</v>
      </c>
      <c r="K38" s="106">
        <v>20</v>
      </c>
      <c r="L38" s="106"/>
      <c r="M38" s="106">
        <v>13</v>
      </c>
      <c r="N38" s="106"/>
      <c r="O38" s="106">
        <v>15</v>
      </c>
      <c r="P38" s="106">
        <v>0</v>
      </c>
      <c r="Q38" s="106">
        <v>70</v>
      </c>
      <c r="R38" s="106"/>
      <c r="S38" s="106">
        <v>22</v>
      </c>
      <c r="T38" s="106">
        <v>13</v>
      </c>
      <c r="U38" s="106">
        <v>17</v>
      </c>
      <c r="V38" s="106">
        <v>22</v>
      </c>
      <c r="W38" s="126">
        <v>22</v>
      </c>
      <c r="X38" s="134">
        <f t="shared" si="0"/>
        <v>1.1578947368421053</v>
      </c>
      <c r="Y38" s="87">
        <f t="shared" si="1"/>
        <v>91.25</v>
      </c>
      <c r="Z38" s="92">
        <f t="shared" si="2"/>
        <v>1.8181818181818181</v>
      </c>
      <c r="AA38" s="87">
        <f t="shared" si="3"/>
        <v>59.3125</v>
      </c>
      <c r="AB38" s="92">
        <f t="shared" si="4"/>
        <v>0.76470588235294112</v>
      </c>
      <c r="AC38" s="87">
        <f t="shared" si="7"/>
        <v>119.32692307692308</v>
      </c>
      <c r="AD38" s="92">
        <f t="shared" si="5"/>
        <v>0.75</v>
      </c>
      <c r="AE38" s="87">
        <f t="shared" si="8"/>
        <v>133.83333333333331</v>
      </c>
      <c r="AF38" s="92">
        <f t="shared" si="6"/>
        <v>1.044776119402985</v>
      </c>
      <c r="AG38" s="87">
        <f t="shared" si="9"/>
        <v>114.71428571428571</v>
      </c>
    </row>
    <row r="39" spans="2:37" s="81" customFormat="1" ht="18" customHeight="1">
      <c r="B39" s="228"/>
      <c r="C39" s="79" t="s">
        <v>43</v>
      </c>
      <c r="D39" s="109">
        <v>30708</v>
      </c>
      <c r="E39" s="109">
        <v>29779</v>
      </c>
      <c r="F39" s="109">
        <v>28662</v>
      </c>
      <c r="G39" s="109">
        <v>32568</v>
      </c>
      <c r="H39" s="109">
        <v>121717</v>
      </c>
      <c r="I39" s="106">
        <v>30582</v>
      </c>
      <c r="J39" s="106">
        <v>0</v>
      </c>
      <c r="K39" s="106">
        <v>29272</v>
      </c>
      <c r="L39" s="106"/>
      <c r="M39" s="106">
        <v>29038</v>
      </c>
      <c r="N39" s="106"/>
      <c r="O39" s="106">
        <v>33359</v>
      </c>
      <c r="P39" s="106">
        <v>0</v>
      </c>
      <c r="Q39" s="106">
        <v>122251</v>
      </c>
      <c r="R39" s="106"/>
      <c r="S39" s="106">
        <v>3068</v>
      </c>
      <c r="T39" s="106">
        <v>3527</v>
      </c>
      <c r="U39" s="106">
        <v>3153</v>
      </c>
      <c r="V39" s="106">
        <v>2540</v>
      </c>
      <c r="W39" s="126">
        <v>2540</v>
      </c>
      <c r="X39" s="134">
        <f t="shared" si="0"/>
        <v>0.99589683470105506</v>
      </c>
      <c r="Y39" s="87">
        <f t="shared" si="1"/>
        <v>9.1542410568308163</v>
      </c>
      <c r="Z39" s="92">
        <f t="shared" si="2"/>
        <v>0.98297457940159172</v>
      </c>
      <c r="AA39" s="87">
        <f t="shared" si="3"/>
        <v>10.994764621481279</v>
      </c>
      <c r="AB39" s="92">
        <f t="shared" si="4"/>
        <v>1.0131184146256367</v>
      </c>
      <c r="AC39" s="87">
        <f t="shared" si="7"/>
        <v>9.9080945657414414</v>
      </c>
      <c r="AD39" s="92">
        <f t="shared" si="5"/>
        <v>1.0242876443134366</v>
      </c>
      <c r="AE39" s="87">
        <f t="shared" si="8"/>
        <v>6.9479001169099801</v>
      </c>
      <c r="AF39" s="92">
        <f t="shared" si="6"/>
        <v>1.0043872261064601</v>
      </c>
      <c r="AG39" s="87">
        <f t="shared" si="9"/>
        <v>7.5835780484413213</v>
      </c>
    </row>
    <row r="40" spans="2:37" s="85" customFormat="1" ht="24.95" customHeight="1">
      <c r="B40" s="229"/>
      <c r="C40" s="88" t="s">
        <v>24</v>
      </c>
      <c r="D40" s="89">
        <f>SUM(D32:D39)</f>
        <v>38819</v>
      </c>
      <c r="E40" s="89">
        <f t="shared" ref="E40:T40" si="31">SUM(E32:E39)</f>
        <v>37356</v>
      </c>
      <c r="F40" s="89">
        <f t="shared" si="31"/>
        <v>37064</v>
      </c>
      <c r="G40" s="89">
        <f t="shared" si="31"/>
        <v>55855</v>
      </c>
      <c r="H40" s="89">
        <f t="shared" si="31"/>
        <v>169094</v>
      </c>
      <c r="I40" s="89">
        <f t="shared" si="31"/>
        <v>40566</v>
      </c>
      <c r="J40" s="89">
        <f t="shared" si="31"/>
        <v>674</v>
      </c>
      <c r="K40" s="89">
        <f t="shared" si="31"/>
        <v>38205</v>
      </c>
      <c r="L40" s="89">
        <f t="shared" si="31"/>
        <v>0</v>
      </c>
      <c r="M40" s="89">
        <f t="shared" si="31"/>
        <v>35796</v>
      </c>
      <c r="N40" s="89">
        <f t="shared" si="31"/>
        <v>0</v>
      </c>
      <c r="O40" s="89">
        <f t="shared" si="31"/>
        <v>43683</v>
      </c>
      <c r="P40" s="89">
        <f t="shared" si="31"/>
        <v>0</v>
      </c>
      <c r="Q40" s="89">
        <f t="shared" si="31"/>
        <v>158250</v>
      </c>
      <c r="R40" s="89">
        <f t="shared" si="31"/>
        <v>674</v>
      </c>
      <c r="S40" s="89">
        <f>SUM(S32:S39)</f>
        <v>29780</v>
      </c>
      <c r="T40" s="89">
        <f t="shared" si="31"/>
        <v>30624</v>
      </c>
      <c r="U40" s="89">
        <f>SUM(U32:U39)</f>
        <v>31894</v>
      </c>
      <c r="V40" s="89">
        <v>44236</v>
      </c>
      <c r="W40" s="124">
        <v>44236</v>
      </c>
      <c r="X40" s="136">
        <f t="shared" si="0"/>
        <v>1.045003735284268</v>
      </c>
      <c r="Y40" s="89">
        <f t="shared" si="1"/>
        <v>66.987748360696145</v>
      </c>
      <c r="Z40" s="94">
        <f t="shared" si="2"/>
        <v>1.0227272727272727</v>
      </c>
      <c r="AA40" s="89">
        <f t="shared" si="3"/>
        <v>73.14330585001963</v>
      </c>
      <c r="AB40" s="94">
        <f t="shared" si="4"/>
        <v>0.96578890567666742</v>
      </c>
      <c r="AC40" s="89">
        <f t="shared" si="7"/>
        <v>81.30314839646887</v>
      </c>
      <c r="AD40" s="94">
        <f t="shared" si="5"/>
        <v>0.78207859636558952</v>
      </c>
      <c r="AE40" s="89">
        <f t="shared" si="8"/>
        <v>92.405169058901635</v>
      </c>
      <c r="AF40" s="94">
        <f t="shared" si="6"/>
        <v>0.93586998947331068</v>
      </c>
      <c r="AG40" s="89">
        <f t="shared" si="9"/>
        <v>102.02932069510268</v>
      </c>
    </row>
    <row r="41" spans="2:37" s="81" customFormat="1" ht="18" customHeight="1">
      <c r="B41" s="196" t="s">
        <v>44</v>
      </c>
      <c r="C41" s="79" t="s">
        <v>45</v>
      </c>
      <c r="D41" s="109">
        <v>628</v>
      </c>
      <c r="E41" s="109">
        <v>703</v>
      </c>
      <c r="F41" s="109">
        <v>540</v>
      </c>
      <c r="G41" s="109">
        <v>622</v>
      </c>
      <c r="H41" s="109">
        <v>2493</v>
      </c>
      <c r="I41" s="106">
        <v>653</v>
      </c>
      <c r="J41" s="106"/>
      <c r="K41" s="106">
        <v>668</v>
      </c>
      <c r="L41" s="106"/>
      <c r="M41" s="106">
        <v>380</v>
      </c>
      <c r="N41" s="106"/>
      <c r="O41" s="106">
        <v>560</v>
      </c>
      <c r="P41" s="106">
        <v>0</v>
      </c>
      <c r="Q41" s="106">
        <v>2261</v>
      </c>
      <c r="R41" s="106"/>
      <c r="S41" s="105">
        <v>2726</v>
      </c>
      <c r="T41" s="105">
        <v>2761</v>
      </c>
      <c r="U41" s="105">
        <v>2921</v>
      </c>
      <c r="V41" s="105">
        <v>2982</v>
      </c>
      <c r="W41" s="123">
        <v>2982</v>
      </c>
      <c r="X41" s="134">
        <f t="shared" si="0"/>
        <v>1.0398089171974523</v>
      </c>
      <c r="Y41" s="87">
        <f t="shared" si="1"/>
        <v>380.93032159264931</v>
      </c>
      <c r="Z41" s="92">
        <f t="shared" si="2"/>
        <v>0.9502133712660028</v>
      </c>
      <c r="AA41" s="87">
        <f t="shared" si="3"/>
        <v>377.15755988023955</v>
      </c>
      <c r="AB41" s="92">
        <f t="shared" si="4"/>
        <v>0.70370370370370372</v>
      </c>
      <c r="AC41" s="87">
        <f t="shared" si="7"/>
        <v>701.42434210526312</v>
      </c>
      <c r="AD41" s="92">
        <f t="shared" si="5"/>
        <v>0.90032154340836013</v>
      </c>
      <c r="AE41" s="87">
        <f t="shared" si="8"/>
        <v>485.90625</v>
      </c>
      <c r="AF41" s="92">
        <f t="shared" si="6"/>
        <v>0.90693943040513436</v>
      </c>
      <c r="AG41" s="87">
        <f t="shared" si="9"/>
        <v>481.39318885448915</v>
      </c>
    </row>
    <row r="42" spans="2:37" s="81" customFormat="1" ht="18" customHeight="1">
      <c r="B42" s="196"/>
      <c r="C42" s="79" t="s">
        <v>46</v>
      </c>
      <c r="D42" s="109">
        <v>405</v>
      </c>
      <c r="E42" s="109">
        <v>826</v>
      </c>
      <c r="F42" s="109">
        <v>409</v>
      </c>
      <c r="G42" s="109">
        <v>472</v>
      </c>
      <c r="H42" s="109">
        <v>2112</v>
      </c>
      <c r="I42" s="106">
        <v>433</v>
      </c>
      <c r="J42" s="106"/>
      <c r="K42" s="106">
        <v>498</v>
      </c>
      <c r="L42" s="106"/>
      <c r="M42" s="106">
        <v>461</v>
      </c>
      <c r="N42" s="106"/>
      <c r="O42" s="106">
        <v>497</v>
      </c>
      <c r="P42" s="106">
        <v>0</v>
      </c>
      <c r="Q42" s="106">
        <v>1889</v>
      </c>
      <c r="R42" s="106"/>
      <c r="S42" s="105">
        <v>506</v>
      </c>
      <c r="T42" s="105">
        <v>833</v>
      </c>
      <c r="U42" s="105">
        <v>781</v>
      </c>
      <c r="V42" s="105">
        <v>756</v>
      </c>
      <c r="W42" s="123">
        <v>756</v>
      </c>
      <c r="X42" s="134">
        <f t="shared" si="0"/>
        <v>1.0691358024691358</v>
      </c>
      <c r="Y42" s="87">
        <f t="shared" si="1"/>
        <v>106.63394919168591</v>
      </c>
      <c r="Z42" s="92">
        <f t="shared" si="2"/>
        <v>0.60290556900726389</v>
      </c>
      <c r="AA42" s="87">
        <f t="shared" si="3"/>
        <v>152.63303212851406</v>
      </c>
      <c r="AB42" s="92">
        <f t="shared" si="4"/>
        <v>1.1271393643031784</v>
      </c>
      <c r="AC42" s="87">
        <f t="shared" si="7"/>
        <v>154.59056399132322</v>
      </c>
      <c r="AD42" s="92">
        <f t="shared" si="5"/>
        <v>1.0529661016949152</v>
      </c>
      <c r="AE42" s="87">
        <f t="shared" si="8"/>
        <v>138.80281690140845</v>
      </c>
      <c r="AF42" s="92">
        <f t="shared" si="6"/>
        <v>0.89441287878787878</v>
      </c>
      <c r="AG42" s="87">
        <f t="shared" si="9"/>
        <v>146.0772895712017</v>
      </c>
      <c r="AK42" s="95"/>
    </row>
    <row r="43" spans="2:37" s="81" customFormat="1" ht="18" customHeight="1">
      <c r="B43" s="196"/>
      <c r="C43" s="79" t="s">
        <v>47</v>
      </c>
      <c r="D43" s="109">
        <v>915</v>
      </c>
      <c r="E43" s="109">
        <v>1089</v>
      </c>
      <c r="F43" s="109">
        <v>1129</v>
      </c>
      <c r="G43" s="109">
        <v>1266</v>
      </c>
      <c r="H43" s="109">
        <v>4399</v>
      </c>
      <c r="I43" s="106">
        <v>1149</v>
      </c>
      <c r="J43" s="106"/>
      <c r="K43" s="106">
        <v>1027</v>
      </c>
      <c r="L43" s="106"/>
      <c r="M43" s="106">
        <v>724</v>
      </c>
      <c r="N43" s="106"/>
      <c r="O43" s="106">
        <v>1815</v>
      </c>
      <c r="P43" s="106">
        <v>0</v>
      </c>
      <c r="Q43" s="106">
        <v>4715</v>
      </c>
      <c r="R43" s="106"/>
      <c r="S43" s="105">
        <v>4921</v>
      </c>
      <c r="T43" s="105">
        <v>4983</v>
      </c>
      <c r="U43" s="105">
        <v>5388</v>
      </c>
      <c r="V43" s="105">
        <v>4839</v>
      </c>
      <c r="W43" s="123">
        <v>4839</v>
      </c>
      <c r="X43" s="134">
        <f t="shared" si="0"/>
        <v>1.2557377049180327</v>
      </c>
      <c r="Y43" s="87">
        <f t="shared" si="1"/>
        <v>390.81048738033076</v>
      </c>
      <c r="Z43" s="92">
        <f t="shared" si="2"/>
        <v>0.9430670339761249</v>
      </c>
      <c r="AA43" s="87">
        <f t="shared" si="3"/>
        <v>442.74464459591042</v>
      </c>
      <c r="AB43" s="92">
        <f t="shared" si="4"/>
        <v>0.64127546501328614</v>
      </c>
      <c r="AC43" s="87">
        <f t="shared" si="7"/>
        <v>679.08149171270713</v>
      </c>
      <c r="AD43" s="92">
        <f t="shared" si="5"/>
        <v>1.433649289099526</v>
      </c>
      <c r="AE43" s="87">
        <f t="shared" si="8"/>
        <v>243.28305785123965</v>
      </c>
      <c r="AF43" s="92">
        <f t="shared" si="6"/>
        <v>1.0718345078426916</v>
      </c>
      <c r="AG43" s="87">
        <f t="shared" si="9"/>
        <v>374.59915164369033</v>
      </c>
    </row>
    <row r="44" spans="2:37" s="81" customFormat="1" ht="18" customHeight="1">
      <c r="B44" s="196"/>
      <c r="C44" s="79" t="s">
        <v>48</v>
      </c>
      <c r="D44" s="109">
        <v>1476</v>
      </c>
      <c r="E44" s="109">
        <v>1308</v>
      </c>
      <c r="F44" s="109">
        <v>713</v>
      </c>
      <c r="G44" s="109">
        <v>1838</v>
      </c>
      <c r="H44" s="109">
        <v>5335</v>
      </c>
      <c r="I44" s="106">
        <v>1255</v>
      </c>
      <c r="J44" s="106"/>
      <c r="K44" s="106">
        <v>1155</v>
      </c>
      <c r="L44" s="106"/>
      <c r="M44" s="106">
        <v>955</v>
      </c>
      <c r="N44" s="106"/>
      <c r="O44" s="106">
        <v>1060</v>
      </c>
      <c r="P44" s="106">
        <v>0</v>
      </c>
      <c r="Q44" s="106">
        <v>4425</v>
      </c>
      <c r="R44" s="106"/>
      <c r="S44" s="105">
        <v>5758</v>
      </c>
      <c r="T44" s="105">
        <v>5911</v>
      </c>
      <c r="U44" s="105">
        <v>5669</v>
      </c>
      <c r="V44" s="105">
        <v>6447</v>
      </c>
      <c r="W44" s="123">
        <v>6447</v>
      </c>
      <c r="X44" s="134">
        <f t="shared" si="0"/>
        <v>0.85027100271002709</v>
      </c>
      <c r="Y44" s="87">
        <f t="shared" si="1"/>
        <v>418.65936254980079</v>
      </c>
      <c r="Z44" s="92">
        <f t="shared" si="2"/>
        <v>0.8830275229357798</v>
      </c>
      <c r="AA44" s="87">
        <f t="shared" si="3"/>
        <v>466.99458874458873</v>
      </c>
      <c r="AB44" s="92">
        <f t="shared" si="4"/>
        <v>1.3394109396914446</v>
      </c>
      <c r="AC44" s="87">
        <f t="shared" si="7"/>
        <v>541.6714659685864</v>
      </c>
      <c r="AD44" s="92">
        <f t="shared" si="5"/>
        <v>0.57671381936887922</v>
      </c>
      <c r="AE44" s="87">
        <f t="shared" si="8"/>
        <v>554.98938679245282</v>
      </c>
      <c r="AF44" s="92">
        <f t="shared" si="6"/>
        <v>0.82942830365510778</v>
      </c>
      <c r="AG44" s="87">
        <f t="shared" si="9"/>
        <v>531.78644067796608</v>
      </c>
    </row>
    <row r="45" spans="2:37" s="85" customFormat="1" ht="24.95" customHeight="1">
      <c r="B45" s="196"/>
      <c r="C45" s="88" t="s">
        <v>24</v>
      </c>
      <c r="D45" s="89">
        <f>SUM(D41:D44)</f>
        <v>3424</v>
      </c>
      <c r="E45" s="89">
        <f t="shared" ref="E45:G45" si="32">SUM(E41:E44)</f>
        <v>3926</v>
      </c>
      <c r="F45" s="89">
        <f t="shared" si="32"/>
        <v>2791</v>
      </c>
      <c r="G45" s="89">
        <f t="shared" si="32"/>
        <v>4198</v>
      </c>
      <c r="H45" s="89">
        <f>SUM(H41:H44)</f>
        <v>14339</v>
      </c>
      <c r="I45" s="89">
        <f t="shared" ref="I45:U45" si="33">SUM(I41:I44)</f>
        <v>3490</v>
      </c>
      <c r="J45" s="89">
        <f t="shared" si="33"/>
        <v>0</v>
      </c>
      <c r="K45" s="89">
        <f t="shared" si="33"/>
        <v>3348</v>
      </c>
      <c r="L45" s="89">
        <f t="shared" si="33"/>
        <v>0</v>
      </c>
      <c r="M45" s="89">
        <f t="shared" si="33"/>
        <v>2520</v>
      </c>
      <c r="N45" s="89">
        <f t="shared" si="33"/>
        <v>0</v>
      </c>
      <c r="O45" s="89">
        <f t="shared" si="33"/>
        <v>3932</v>
      </c>
      <c r="P45" s="89">
        <f t="shared" si="33"/>
        <v>0</v>
      </c>
      <c r="Q45" s="89">
        <f t="shared" si="33"/>
        <v>13290</v>
      </c>
      <c r="R45" s="89">
        <f t="shared" si="33"/>
        <v>0</v>
      </c>
      <c r="S45" s="89">
        <f t="shared" si="33"/>
        <v>13911</v>
      </c>
      <c r="T45" s="89">
        <f t="shared" si="33"/>
        <v>14488</v>
      </c>
      <c r="U45" s="89">
        <f t="shared" si="33"/>
        <v>14759</v>
      </c>
      <c r="V45" s="89">
        <v>15024</v>
      </c>
      <c r="W45" s="124">
        <v>15024</v>
      </c>
      <c r="X45" s="136">
        <f t="shared" si="0"/>
        <v>1.0192757009345794</v>
      </c>
      <c r="Y45" s="89">
        <f t="shared" si="1"/>
        <v>363.71883954154731</v>
      </c>
      <c r="Z45" s="94">
        <f t="shared" si="2"/>
        <v>0.85277636271013757</v>
      </c>
      <c r="AA45" s="89">
        <f t="shared" si="3"/>
        <v>394.87156511350059</v>
      </c>
      <c r="AB45" s="94">
        <f t="shared" si="4"/>
        <v>0.90290218559656032</v>
      </c>
      <c r="AC45" s="89">
        <f t="shared" si="7"/>
        <v>534.42807539682542</v>
      </c>
      <c r="AD45" s="94">
        <f t="shared" si="5"/>
        <v>0.93663649356836587</v>
      </c>
      <c r="AE45" s="89">
        <f t="shared" si="8"/>
        <v>348.66225839267548</v>
      </c>
      <c r="AF45" s="94">
        <f t="shared" si="6"/>
        <v>0.92684287607225047</v>
      </c>
      <c r="AG45" s="89">
        <f t="shared" si="9"/>
        <v>412.62302483069976</v>
      </c>
    </row>
    <row r="46" spans="2:37" s="97" customFormat="1" ht="24.95" customHeight="1">
      <c r="B46" s="96" t="s">
        <v>49</v>
      </c>
      <c r="C46" s="88" t="s">
        <v>24</v>
      </c>
      <c r="D46" s="112">
        <v>2735</v>
      </c>
      <c r="E46" s="112">
        <v>2315</v>
      </c>
      <c r="F46" s="112">
        <v>1935</v>
      </c>
      <c r="G46" s="112">
        <v>1925</v>
      </c>
      <c r="H46" s="112">
        <v>8910</v>
      </c>
      <c r="I46" s="112">
        <v>2398</v>
      </c>
      <c r="J46" s="112"/>
      <c r="K46" s="112">
        <v>2584</v>
      </c>
      <c r="L46" s="112"/>
      <c r="M46" s="112">
        <v>1630</v>
      </c>
      <c r="N46" s="112"/>
      <c r="O46" s="112">
        <v>2922</v>
      </c>
      <c r="P46" s="112">
        <v>0</v>
      </c>
      <c r="Q46" s="112">
        <v>9534</v>
      </c>
      <c r="R46" s="112"/>
      <c r="S46" s="113">
        <v>21182</v>
      </c>
      <c r="T46" s="113">
        <v>20913</v>
      </c>
      <c r="U46" s="113">
        <v>21218</v>
      </c>
      <c r="V46" s="113">
        <v>20221</v>
      </c>
      <c r="W46" s="127">
        <v>20221</v>
      </c>
      <c r="X46" s="136">
        <f t="shared" si="0"/>
        <v>0.87678244972577701</v>
      </c>
      <c r="Y46" s="89">
        <f t="shared" si="1"/>
        <v>806.02898248540453</v>
      </c>
      <c r="Z46" s="94">
        <f t="shared" si="2"/>
        <v>1.1161987041036716</v>
      </c>
      <c r="AA46" s="89">
        <f t="shared" si="3"/>
        <v>738.5105456656346</v>
      </c>
      <c r="AB46" s="94">
        <f t="shared" si="4"/>
        <v>0.84237726098191212</v>
      </c>
      <c r="AC46" s="89">
        <f t="shared" si="7"/>
        <v>1187.8174846625768</v>
      </c>
      <c r="AD46" s="94">
        <f t="shared" si="5"/>
        <v>1.5179220779220779</v>
      </c>
      <c r="AE46" s="89">
        <f t="shared" si="8"/>
        <v>631.47373374401093</v>
      </c>
      <c r="AF46" s="94">
        <f t="shared" si="6"/>
        <v>1.0700336700336701</v>
      </c>
      <c r="AG46" s="89">
        <f t="shared" si="9"/>
        <v>774.14149360184615</v>
      </c>
    </row>
    <row r="47" spans="2:37" s="97" customFormat="1" ht="24.95" customHeight="1">
      <c r="B47" s="96" t="s">
        <v>50</v>
      </c>
      <c r="C47" s="88" t="s">
        <v>24</v>
      </c>
      <c r="D47" s="112">
        <v>491</v>
      </c>
      <c r="E47" s="112">
        <v>929</v>
      </c>
      <c r="F47" s="112">
        <v>949</v>
      </c>
      <c r="G47" s="112">
        <v>1067</v>
      </c>
      <c r="H47" s="112">
        <v>3436</v>
      </c>
      <c r="I47" s="112">
        <v>1364</v>
      </c>
      <c r="J47" s="112"/>
      <c r="K47" s="112">
        <v>951</v>
      </c>
      <c r="L47" s="112"/>
      <c r="M47" s="112">
        <v>885</v>
      </c>
      <c r="N47" s="112"/>
      <c r="O47" s="112">
        <v>1070</v>
      </c>
      <c r="P47" s="112">
        <v>0</v>
      </c>
      <c r="Q47" s="112">
        <v>4270</v>
      </c>
      <c r="R47" s="112"/>
      <c r="S47" s="113">
        <v>683</v>
      </c>
      <c r="T47" s="113">
        <v>661</v>
      </c>
      <c r="U47" s="113">
        <v>725</v>
      </c>
      <c r="V47" s="113">
        <v>722</v>
      </c>
      <c r="W47" s="127">
        <v>722</v>
      </c>
      <c r="X47" s="136">
        <f t="shared" si="0"/>
        <v>2.7780040733197557</v>
      </c>
      <c r="Y47" s="89">
        <f t="shared" si="1"/>
        <v>45.691898826979475</v>
      </c>
      <c r="Z47" s="94">
        <f t="shared" si="2"/>
        <v>1.0236813778256189</v>
      </c>
      <c r="AA47" s="89">
        <f t="shared" si="3"/>
        <v>63.424027339642485</v>
      </c>
      <c r="AB47" s="94">
        <f t="shared" si="4"/>
        <v>0.93256059009483672</v>
      </c>
      <c r="AC47" s="89">
        <f t="shared" si="7"/>
        <v>74.752824858757066</v>
      </c>
      <c r="AD47" s="94">
        <f t="shared" si="5"/>
        <v>1.0028116213683225</v>
      </c>
      <c r="AE47" s="89">
        <f t="shared" si="8"/>
        <v>61.572429906542055</v>
      </c>
      <c r="AF47" s="94">
        <f t="shared" si="6"/>
        <v>1.2427240977881258</v>
      </c>
      <c r="AG47" s="89">
        <f t="shared" si="9"/>
        <v>61.716627634660419</v>
      </c>
    </row>
    <row r="48" spans="2:37" s="98" customFormat="1" ht="18" customHeight="1">
      <c r="B48" s="197" t="s">
        <v>51</v>
      </c>
      <c r="C48" s="86" t="s">
        <v>52</v>
      </c>
      <c r="D48" s="109">
        <v>2050</v>
      </c>
      <c r="E48" s="109">
        <v>2083</v>
      </c>
      <c r="F48" s="109">
        <v>2074</v>
      </c>
      <c r="G48" s="109">
        <v>2243</v>
      </c>
      <c r="H48" s="109">
        <v>8450</v>
      </c>
      <c r="I48" s="109">
        <v>1199</v>
      </c>
      <c r="J48" s="109"/>
      <c r="K48" s="109">
        <v>1411</v>
      </c>
      <c r="L48" s="109"/>
      <c r="M48" s="109">
        <v>1087</v>
      </c>
      <c r="N48" s="109"/>
      <c r="O48" s="109">
        <v>1810</v>
      </c>
      <c r="P48" s="109">
        <v>0</v>
      </c>
      <c r="Q48" s="109">
        <v>5507</v>
      </c>
      <c r="R48" s="109"/>
      <c r="S48" s="105">
        <v>18681</v>
      </c>
      <c r="T48" s="105">
        <v>16223</v>
      </c>
      <c r="U48" s="105">
        <v>17210</v>
      </c>
      <c r="V48" s="105">
        <v>17643</v>
      </c>
      <c r="W48" s="123">
        <v>17643</v>
      </c>
      <c r="X48" s="134">
        <f t="shared" si="0"/>
        <v>0.58487804878048777</v>
      </c>
      <c r="Y48" s="87">
        <f t="shared" si="1"/>
        <v>1421.7191409507923</v>
      </c>
      <c r="Z48" s="92">
        <f t="shared" si="2"/>
        <v>0.67738838214114261</v>
      </c>
      <c r="AA48" s="87">
        <f t="shared" si="3"/>
        <v>1049.1486534372787</v>
      </c>
      <c r="AB48" s="92">
        <f t="shared" si="4"/>
        <v>0.52410800385728062</v>
      </c>
      <c r="AC48" s="87">
        <f t="shared" si="7"/>
        <v>1444.7217111315547</v>
      </c>
      <c r="AD48" s="92">
        <f t="shared" si="5"/>
        <v>0.80695497102095404</v>
      </c>
      <c r="AE48" s="87">
        <f t="shared" si="8"/>
        <v>889.46063535911605</v>
      </c>
      <c r="AF48" s="92">
        <f t="shared" si="6"/>
        <v>0.65171597633136091</v>
      </c>
      <c r="AG48" s="87">
        <f t="shared" si="9"/>
        <v>1169.3653531868531</v>
      </c>
    </row>
    <row r="49" spans="2:33" s="98" customFormat="1" ht="18" customHeight="1">
      <c r="B49" s="197"/>
      <c r="C49" s="86" t="s">
        <v>53</v>
      </c>
      <c r="D49" s="109">
        <v>576</v>
      </c>
      <c r="E49" s="109">
        <v>549</v>
      </c>
      <c r="F49" s="109">
        <v>442</v>
      </c>
      <c r="G49" s="109">
        <v>514</v>
      </c>
      <c r="H49" s="109">
        <v>2081</v>
      </c>
      <c r="I49" s="109">
        <v>515</v>
      </c>
      <c r="J49" s="109"/>
      <c r="K49" s="109">
        <v>639</v>
      </c>
      <c r="L49" s="114" t="s">
        <v>69</v>
      </c>
      <c r="M49" s="109">
        <v>455</v>
      </c>
      <c r="N49" s="109"/>
      <c r="O49" s="109">
        <v>554</v>
      </c>
      <c r="P49" s="109"/>
      <c r="Q49" s="109">
        <v>2163</v>
      </c>
      <c r="R49" s="109"/>
      <c r="S49" s="105">
        <v>594</v>
      </c>
      <c r="T49" s="105">
        <v>637</v>
      </c>
      <c r="U49" s="110">
        <v>624</v>
      </c>
      <c r="V49" s="105">
        <v>584</v>
      </c>
      <c r="W49" s="123">
        <v>584</v>
      </c>
      <c r="X49" s="134">
        <f t="shared" si="0"/>
        <v>0.89409722222222221</v>
      </c>
      <c r="Y49" s="87">
        <f t="shared" si="1"/>
        <v>105.24757281553399</v>
      </c>
      <c r="Z49" s="92">
        <f t="shared" si="2"/>
        <v>1.1639344262295082</v>
      </c>
      <c r="AA49" s="87">
        <f t="shared" si="3"/>
        <v>90.964397496087628</v>
      </c>
      <c r="AB49" s="92">
        <f t="shared" si="4"/>
        <v>1.0294117647058822</v>
      </c>
      <c r="AC49" s="87">
        <f t="shared" si="7"/>
        <v>125.14285714285714</v>
      </c>
      <c r="AD49" s="92">
        <f t="shared" si="5"/>
        <v>1.0778210116731517</v>
      </c>
      <c r="AE49" s="87">
        <f t="shared" si="8"/>
        <v>96.191335740072205</v>
      </c>
      <c r="AF49" s="92">
        <f t="shared" si="6"/>
        <v>1.0394041326285439</v>
      </c>
      <c r="AG49" s="87">
        <f t="shared" si="9"/>
        <v>98.548312528895039</v>
      </c>
    </row>
    <row r="50" spans="2:33" s="97" customFormat="1" ht="24.95" customHeight="1">
      <c r="B50" s="197"/>
      <c r="C50" s="88" t="s">
        <v>24</v>
      </c>
      <c r="D50" s="89">
        <f>SUM(D48:D49)</f>
        <v>2626</v>
      </c>
      <c r="E50" s="89">
        <f>SUM(E48:E49)</f>
        <v>2632</v>
      </c>
      <c r="F50" s="89">
        <f t="shared" ref="F50:K50" si="34">SUM(F48:F49)</f>
        <v>2516</v>
      </c>
      <c r="G50" s="89">
        <f t="shared" si="34"/>
        <v>2757</v>
      </c>
      <c r="H50" s="89">
        <f t="shared" si="34"/>
        <v>10531</v>
      </c>
      <c r="I50" s="89">
        <f t="shared" si="34"/>
        <v>1714</v>
      </c>
      <c r="J50" s="89">
        <f t="shared" si="34"/>
        <v>0</v>
      </c>
      <c r="K50" s="89">
        <f t="shared" si="34"/>
        <v>2050</v>
      </c>
      <c r="L50" s="89">
        <f>SUM(L48:L49)</f>
        <v>0</v>
      </c>
      <c r="M50" s="89">
        <f t="shared" ref="M50:Q50" si="35">SUM(M48:M49)</f>
        <v>1542</v>
      </c>
      <c r="N50" s="89">
        <f t="shared" si="35"/>
        <v>0</v>
      </c>
      <c r="O50" s="89">
        <f t="shared" si="35"/>
        <v>2364</v>
      </c>
      <c r="P50" s="89">
        <f t="shared" si="35"/>
        <v>0</v>
      </c>
      <c r="Q50" s="89">
        <f t="shared" si="35"/>
        <v>7670</v>
      </c>
      <c r="R50" s="89">
        <f>SUM(R48:R49)</f>
        <v>0</v>
      </c>
      <c r="S50" s="89">
        <f>SUM(S48:S49)</f>
        <v>19275</v>
      </c>
      <c r="T50" s="89">
        <f t="shared" ref="T50:W50" si="36">SUM(T48:T49)</f>
        <v>16860</v>
      </c>
      <c r="U50" s="89">
        <f t="shared" si="36"/>
        <v>17834</v>
      </c>
      <c r="V50" s="89">
        <f t="shared" si="36"/>
        <v>18227</v>
      </c>
      <c r="W50" s="124">
        <f t="shared" si="36"/>
        <v>18227</v>
      </c>
      <c r="X50" s="136">
        <f t="shared" si="0"/>
        <v>0.65270373191165265</v>
      </c>
      <c r="Y50" s="89">
        <f t="shared" si="1"/>
        <v>1026.1632147024504</v>
      </c>
      <c r="Z50" s="94">
        <f t="shared" si="2"/>
        <v>0.77887537993920974</v>
      </c>
      <c r="AA50" s="89">
        <f t="shared" si="3"/>
        <v>750.47560975609758</v>
      </c>
      <c r="AB50" s="94">
        <f t="shared" si="4"/>
        <v>0.61287758346581878</v>
      </c>
      <c r="AC50" s="89">
        <f t="shared" si="7"/>
        <v>1055.3518158236056</v>
      </c>
      <c r="AD50" s="94">
        <f t="shared" si="5"/>
        <v>0.85745375408052227</v>
      </c>
      <c r="AE50" s="89">
        <f t="shared" si="8"/>
        <v>703.55911590524533</v>
      </c>
      <c r="AF50" s="94">
        <f t="shared" si="6"/>
        <v>0.72832589497673539</v>
      </c>
      <c r="AG50" s="89">
        <f>IFERROR((W50/Q50)*365,0)</f>
        <v>867.38657105606262</v>
      </c>
    </row>
    <row r="51" spans="2:33" s="98" customFormat="1" ht="18" customHeight="1">
      <c r="B51" s="196" t="s">
        <v>54</v>
      </c>
      <c r="C51" s="160" t="s">
        <v>55</v>
      </c>
      <c r="D51" s="154"/>
      <c r="E51" s="154"/>
      <c r="F51" s="154"/>
      <c r="G51" s="154">
        <v>0</v>
      </c>
      <c r="H51" s="154"/>
      <c r="I51" s="154"/>
      <c r="J51" s="154"/>
      <c r="K51" s="154"/>
      <c r="L51" s="154"/>
      <c r="M51" s="154"/>
      <c r="N51" s="154"/>
      <c r="O51" s="154">
        <v>0</v>
      </c>
      <c r="P51" s="154">
        <v>0</v>
      </c>
      <c r="Q51" s="154"/>
      <c r="R51" s="154"/>
      <c r="S51" s="155"/>
      <c r="T51" s="155"/>
      <c r="U51" s="155">
        <v>0</v>
      </c>
      <c r="V51" s="155"/>
      <c r="W51" s="156">
        <v>0</v>
      </c>
      <c r="X51" s="157">
        <f t="shared" si="0"/>
        <v>0</v>
      </c>
      <c r="Y51" s="158">
        <f t="shared" si="1"/>
        <v>0</v>
      </c>
      <c r="Z51" s="159">
        <f t="shared" si="2"/>
        <v>0</v>
      </c>
      <c r="AA51" s="158">
        <f t="shared" si="3"/>
        <v>0</v>
      </c>
      <c r="AB51" s="159">
        <f t="shared" si="4"/>
        <v>0</v>
      </c>
      <c r="AC51" s="158">
        <f t="shared" si="7"/>
        <v>0</v>
      </c>
      <c r="AD51" s="159">
        <f t="shared" si="5"/>
        <v>0</v>
      </c>
      <c r="AE51" s="158">
        <f t="shared" si="8"/>
        <v>0</v>
      </c>
      <c r="AF51" s="159">
        <f t="shared" si="6"/>
        <v>0</v>
      </c>
      <c r="AG51" s="158">
        <f t="shared" si="9"/>
        <v>0</v>
      </c>
    </row>
    <row r="52" spans="2:33" s="98" customFormat="1" ht="18" customHeight="1">
      <c r="B52" s="196"/>
      <c r="C52" s="160" t="s">
        <v>56</v>
      </c>
      <c r="D52" s="154"/>
      <c r="E52" s="154"/>
      <c r="F52" s="154"/>
      <c r="G52" s="154">
        <v>0</v>
      </c>
      <c r="H52" s="154"/>
      <c r="I52" s="154"/>
      <c r="J52" s="154"/>
      <c r="K52" s="154"/>
      <c r="L52" s="154"/>
      <c r="M52" s="154"/>
      <c r="N52" s="154"/>
      <c r="O52" s="154">
        <v>0</v>
      </c>
      <c r="P52" s="154">
        <v>0</v>
      </c>
      <c r="Q52" s="154"/>
      <c r="R52" s="154"/>
      <c r="S52" s="155"/>
      <c r="T52" s="155"/>
      <c r="U52" s="155">
        <v>0</v>
      </c>
      <c r="V52" s="155"/>
      <c r="W52" s="156">
        <v>0</v>
      </c>
      <c r="X52" s="157">
        <f t="shared" si="0"/>
        <v>0</v>
      </c>
      <c r="Y52" s="158">
        <f t="shared" si="1"/>
        <v>0</v>
      </c>
      <c r="Z52" s="159">
        <f t="shared" si="2"/>
        <v>0</v>
      </c>
      <c r="AA52" s="158">
        <f t="shared" si="3"/>
        <v>0</v>
      </c>
      <c r="AB52" s="159">
        <f t="shared" si="4"/>
        <v>0</v>
      </c>
      <c r="AC52" s="158">
        <f t="shared" si="7"/>
        <v>0</v>
      </c>
      <c r="AD52" s="159">
        <f t="shared" si="5"/>
        <v>0</v>
      </c>
      <c r="AE52" s="158">
        <f t="shared" si="8"/>
        <v>0</v>
      </c>
      <c r="AF52" s="159">
        <f t="shared" si="6"/>
        <v>0</v>
      </c>
      <c r="AG52" s="158">
        <f t="shared" si="9"/>
        <v>0</v>
      </c>
    </row>
    <row r="53" spans="2:33" s="98" customFormat="1" ht="18" customHeight="1">
      <c r="B53" s="196"/>
      <c r="C53" s="160" t="s">
        <v>57</v>
      </c>
      <c r="D53" s="154"/>
      <c r="E53" s="154"/>
      <c r="F53" s="154"/>
      <c r="G53" s="154">
        <v>0</v>
      </c>
      <c r="H53" s="154"/>
      <c r="I53" s="154"/>
      <c r="J53" s="154"/>
      <c r="K53" s="154"/>
      <c r="L53" s="154"/>
      <c r="M53" s="154"/>
      <c r="N53" s="154"/>
      <c r="O53" s="154">
        <v>0</v>
      </c>
      <c r="P53" s="154">
        <v>0</v>
      </c>
      <c r="Q53" s="154"/>
      <c r="R53" s="154"/>
      <c r="S53" s="155"/>
      <c r="T53" s="155"/>
      <c r="U53" s="155">
        <v>0</v>
      </c>
      <c r="V53" s="155"/>
      <c r="W53" s="156">
        <v>0</v>
      </c>
      <c r="X53" s="157">
        <f t="shared" si="0"/>
        <v>0</v>
      </c>
      <c r="Y53" s="158">
        <f t="shared" si="1"/>
        <v>0</v>
      </c>
      <c r="Z53" s="159">
        <f t="shared" si="2"/>
        <v>0</v>
      </c>
      <c r="AA53" s="158">
        <f t="shared" si="3"/>
        <v>0</v>
      </c>
      <c r="AB53" s="159">
        <f t="shared" si="4"/>
        <v>0</v>
      </c>
      <c r="AC53" s="158">
        <f t="shared" si="7"/>
        <v>0</v>
      </c>
      <c r="AD53" s="159">
        <f t="shared" si="5"/>
        <v>0</v>
      </c>
      <c r="AE53" s="158">
        <f t="shared" si="8"/>
        <v>0</v>
      </c>
      <c r="AF53" s="159">
        <f t="shared" si="6"/>
        <v>0</v>
      </c>
      <c r="AG53" s="158">
        <f t="shared" si="9"/>
        <v>0</v>
      </c>
    </row>
    <row r="54" spans="2:33" s="97" customFormat="1" ht="18" customHeight="1">
      <c r="B54" s="196"/>
      <c r="C54" s="82" t="s">
        <v>58</v>
      </c>
      <c r="D54" s="111">
        <v>40527</v>
      </c>
      <c r="E54" s="111">
        <v>38954</v>
      </c>
      <c r="F54" s="111">
        <v>43477</v>
      </c>
      <c r="G54" s="111">
        <v>34240</v>
      </c>
      <c r="H54" s="111">
        <v>157198</v>
      </c>
      <c r="I54" s="111">
        <v>54128</v>
      </c>
      <c r="J54" s="111"/>
      <c r="K54" s="111">
        <v>49490</v>
      </c>
      <c r="L54" s="111">
        <v>0</v>
      </c>
      <c r="M54" s="111">
        <v>24026</v>
      </c>
      <c r="N54" s="111">
        <v>0</v>
      </c>
      <c r="O54" s="111">
        <v>43679</v>
      </c>
      <c r="P54" s="111"/>
      <c r="Q54" s="111">
        <v>171323</v>
      </c>
      <c r="R54" s="111">
        <v>0</v>
      </c>
      <c r="S54" s="108">
        <v>71349</v>
      </c>
      <c r="T54" s="108">
        <v>59915</v>
      </c>
      <c r="U54" s="108">
        <v>79366</v>
      </c>
      <c r="V54" s="108">
        <v>68008</v>
      </c>
      <c r="W54" s="128">
        <v>68008</v>
      </c>
      <c r="X54" s="135">
        <f t="shared" si="0"/>
        <v>1.3356034248772424</v>
      </c>
      <c r="Y54" s="91">
        <f t="shared" si="1"/>
        <v>120.28148555276381</v>
      </c>
      <c r="Z54" s="93">
        <f t="shared" si="2"/>
        <v>1.2704728654310211</v>
      </c>
      <c r="AA54" s="91">
        <f t="shared" si="3"/>
        <v>110.47168619923218</v>
      </c>
      <c r="AB54" s="93">
        <f t="shared" si="4"/>
        <v>0.55261402580674834</v>
      </c>
      <c r="AC54" s="91">
        <f t="shared" si="7"/>
        <v>301.42959710313824</v>
      </c>
      <c r="AD54" s="93">
        <f t="shared" si="5"/>
        <v>1.2756717289719626</v>
      </c>
      <c r="AE54" s="91">
        <f t="shared" si="8"/>
        <v>142.07582591176538</v>
      </c>
      <c r="AF54" s="93">
        <f t="shared" si="6"/>
        <v>1.0898548327586866</v>
      </c>
      <c r="AG54" s="91">
        <f t="shared" si="9"/>
        <v>144.88959450861825</v>
      </c>
    </row>
    <row r="55" spans="2:33" s="98" customFormat="1" ht="18" customHeight="1">
      <c r="B55" s="196"/>
      <c r="C55" s="86" t="s">
        <v>59</v>
      </c>
      <c r="D55" s="109">
        <v>1175</v>
      </c>
      <c r="E55" s="109">
        <v>978</v>
      </c>
      <c r="F55" s="109">
        <v>1012</v>
      </c>
      <c r="G55" s="109">
        <v>903</v>
      </c>
      <c r="H55" s="109">
        <v>4068</v>
      </c>
      <c r="I55" s="109">
        <v>1913</v>
      </c>
      <c r="J55" s="109"/>
      <c r="K55" s="109">
        <v>1473</v>
      </c>
      <c r="L55" s="109"/>
      <c r="M55" s="109">
        <v>952</v>
      </c>
      <c r="N55" s="109"/>
      <c r="O55" s="109">
        <v>475</v>
      </c>
      <c r="P55" s="109">
        <v>0</v>
      </c>
      <c r="Q55" s="109">
        <v>4813</v>
      </c>
      <c r="R55" s="109"/>
      <c r="S55" s="105">
        <v>1678</v>
      </c>
      <c r="T55" s="105">
        <v>1183</v>
      </c>
      <c r="U55" s="105">
        <v>1243</v>
      </c>
      <c r="V55" s="105">
        <v>1539</v>
      </c>
      <c r="W55" s="123">
        <v>1539</v>
      </c>
      <c r="X55" s="134">
        <f t="shared" si="0"/>
        <v>1.6280851063829787</v>
      </c>
      <c r="Y55" s="87">
        <f t="shared" si="1"/>
        <v>80.040512284370095</v>
      </c>
      <c r="Z55" s="92">
        <f t="shared" si="2"/>
        <v>1.5061349693251533</v>
      </c>
      <c r="AA55" s="87">
        <f t="shared" si="3"/>
        <v>73.284962661235582</v>
      </c>
      <c r="AB55" s="92">
        <f t="shared" si="4"/>
        <v>0.94071146245059289</v>
      </c>
      <c r="AC55" s="87">
        <f t="shared" si="7"/>
        <v>119.14259453781513</v>
      </c>
      <c r="AD55" s="92">
        <f t="shared" si="5"/>
        <v>0.52602436323366553</v>
      </c>
      <c r="AE55" s="87">
        <f t="shared" si="8"/>
        <v>295.65000000000003</v>
      </c>
      <c r="AF55" s="92">
        <f t="shared" si="6"/>
        <v>1.1831366764995084</v>
      </c>
      <c r="AG55" s="87">
        <f t="shared" si="9"/>
        <v>116.71202991896945</v>
      </c>
    </row>
    <row r="56" spans="2:33" s="97" customFormat="1" ht="24.95" customHeight="1">
      <c r="B56" s="196"/>
      <c r="C56" s="96" t="s">
        <v>24</v>
      </c>
      <c r="D56" s="89">
        <f t="shared" ref="D56:V56" si="37">SUM(D54:D55)</f>
        <v>41702</v>
      </c>
      <c r="E56" s="89">
        <f t="shared" si="37"/>
        <v>39932</v>
      </c>
      <c r="F56" s="89">
        <f t="shared" si="37"/>
        <v>44489</v>
      </c>
      <c r="G56" s="89">
        <f>SUM(G54:G55)</f>
        <v>35143</v>
      </c>
      <c r="H56" s="89">
        <f t="shared" si="37"/>
        <v>161266</v>
      </c>
      <c r="I56" s="89">
        <f t="shared" si="37"/>
        <v>56041</v>
      </c>
      <c r="J56" s="89">
        <f t="shared" si="37"/>
        <v>0</v>
      </c>
      <c r="K56" s="89">
        <f t="shared" si="37"/>
        <v>50963</v>
      </c>
      <c r="L56" s="89">
        <f t="shared" si="37"/>
        <v>0</v>
      </c>
      <c r="M56" s="89">
        <f t="shared" si="37"/>
        <v>24978</v>
      </c>
      <c r="N56" s="89">
        <f t="shared" si="37"/>
        <v>0</v>
      </c>
      <c r="O56" s="89">
        <f t="shared" si="37"/>
        <v>44154</v>
      </c>
      <c r="P56" s="89">
        <f t="shared" si="37"/>
        <v>0</v>
      </c>
      <c r="Q56" s="89">
        <f t="shared" si="37"/>
        <v>176136</v>
      </c>
      <c r="R56" s="89">
        <f t="shared" si="37"/>
        <v>0</v>
      </c>
      <c r="S56" s="89">
        <f t="shared" si="37"/>
        <v>73027</v>
      </c>
      <c r="T56" s="89">
        <f t="shared" si="37"/>
        <v>61098</v>
      </c>
      <c r="U56" s="89">
        <f t="shared" si="37"/>
        <v>80609</v>
      </c>
      <c r="V56" s="89">
        <f t="shared" si="37"/>
        <v>69547</v>
      </c>
      <c r="W56" s="124">
        <f t="shared" ref="W56" si="38">SUM(W54:W55)</f>
        <v>69547</v>
      </c>
      <c r="X56" s="136">
        <f t="shared" si="0"/>
        <v>1.3438444199318977</v>
      </c>
      <c r="Y56" s="89">
        <f t="shared" si="1"/>
        <v>118.90783087382452</v>
      </c>
      <c r="Z56" s="94">
        <f t="shared" si="2"/>
        <v>1.2762446158469398</v>
      </c>
      <c r="AA56" s="89">
        <f t="shared" si="3"/>
        <v>109.39686635402155</v>
      </c>
      <c r="AB56" s="94">
        <f t="shared" si="4"/>
        <v>0.56144215424037403</v>
      </c>
      <c r="AC56" s="89">
        <f t="shared" si="7"/>
        <v>294.48199415485624</v>
      </c>
      <c r="AD56" s="94">
        <f t="shared" si="5"/>
        <v>1.2564095267905415</v>
      </c>
      <c r="AE56" s="89">
        <f t="shared" si="8"/>
        <v>143.72794650541286</v>
      </c>
      <c r="AF56" s="94">
        <f t="shared" si="6"/>
        <v>1.0922079049520668</v>
      </c>
      <c r="AG56" s="89">
        <f t="shared" si="9"/>
        <v>144.11962915020212</v>
      </c>
    </row>
    <row r="57" spans="2:33" s="97" customFormat="1" ht="24.95" customHeight="1">
      <c r="B57" s="96" t="s">
        <v>60</v>
      </c>
      <c r="C57" s="71" t="s">
        <v>24</v>
      </c>
      <c r="D57" s="112">
        <v>5209</v>
      </c>
      <c r="E57" s="112">
        <v>4540</v>
      </c>
      <c r="F57" s="112">
        <v>2753</v>
      </c>
      <c r="G57" s="112">
        <v>3587</v>
      </c>
      <c r="H57" s="112">
        <v>16089</v>
      </c>
      <c r="I57" s="112">
        <v>5094</v>
      </c>
      <c r="J57" s="112"/>
      <c r="K57" s="112">
        <v>6029</v>
      </c>
      <c r="L57" s="112"/>
      <c r="M57" s="112">
        <v>6420</v>
      </c>
      <c r="N57" s="112"/>
      <c r="O57" s="112">
        <v>10363</v>
      </c>
      <c r="P57" s="112">
        <v>0</v>
      </c>
      <c r="Q57" s="112">
        <v>27906</v>
      </c>
      <c r="R57" s="112"/>
      <c r="S57" s="113">
        <v>43264</v>
      </c>
      <c r="T57" s="113">
        <v>41775</v>
      </c>
      <c r="U57" s="113">
        <v>38108</v>
      </c>
      <c r="V57" s="113">
        <v>31330</v>
      </c>
      <c r="W57" s="127">
        <v>31330</v>
      </c>
      <c r="X57" s="136">
        <f t="shared" si="0"/>
        <v>0.9779228258782876</v>
      </c>
      <c r="Y57" s="89">
        <f t="shared" si="1"/>
        <v>774.99803690616409</v>
      </c>
      <c r="Z57" s="94">
        <f t="shared" si="2"/>
        <v>1.3279735682819382</v>
      </c>
      <c r="AA57" s="89">
        <f t="shared" si="3"/>
        <v>632.27214297561784</v>
      </c>
      <c r="AB57" s="94">
        <f t="shared" si="4"/>
        <v>2.332001452960407</v>
      </c>
      <c r="AC57" s="89">
        <f t="shared" si="7"/>
        <v>541.64408099688478</v>
      </c>
      <c r="AD57" s="94">
        <f t="shared" si="5"/>
        <v>2.8890437691664341</v>
      </c>
      <c r="AE57" s="89">
        <f t="shared" si="8"/>
        <v>275.87209302325584</v>
      </c>
      <c r="AF57" s="94">
        <f t="shared" si="6"/>
        <v>1.7344769718441171</v>
      </c>
      <c r="AG57" s="89">
        <f t="shared" si="9"/>
        <v>409.78463412886123</v>
      </c>
    </row>
    <row r="58" spans="2:33" s="97" customFormat="1" ht="35.1" customHeight="1">
      <c r="B58" s="193" t="s">
        <v>61</v>
      </c>
      <c r="C58" s="193"/>
      <c r="D58" s="99">
        <f>SUM(D17+D31+D40+D45+D46+D47+D50+D56+D57)</f>
        <v>328587</v>
      </c>
      <c r="E58" s="99">
        <f t="shared" ref="E58:G58" si="39">SUM(E17+E31+E40+E45+E46+E47+E50+E56+E57)</f>
        <v>302421</v>
      </c>
      <c r="F58" s="99">
        <f>SUM(F17+F31+F40+F45+F46+F47+F50+F56+F57)</f>
        <v>285146</v>
      </c>
      <c r="G58" s="99">
        <f t="shared" si="39"/>
        <v>336297</v>
      </c>
      <c r="H58" s="99">
        <f>SUM(H17+H31+H40+H45+H46+H47+H50+H56+H57)</f>
        <v>1252451</v>
      </c>
      <c r="I58" s="99">
        <f t="shared" ref="I58:T58" si="40">SUM(I17+I31+I40+I45+I46+I47+I50+I56+I57)</f>
        <v>352232</v>
      </c>
      <c r="J58" s="99">
        <f t="shared" si="40"/>
        <v>4884</v>
      </c>
      <c r="K58" s="99">
        <f t="shared" si="40"/>
        <v>325470</v>
      </c>
      <c r="L58" s="99">
        <f t="shared" si="40"/>
        <v>1087</v>
      </c>
      <c r="M58" s="99">
        <f t="shared" si="40"/>
        <v>262890</v>
      </c>
      <c r="N58" s="99">
        <f t="shared" si="40"/>
        <v>420</v>
      </c>
      <c r="O58" s="99">
        <f t="shared" si="40"/>
        <v>349850</v>
      </c>
      <c r="P58" s="99">
        <f t="shared" si="40"/>
        <v>1470</v>
      </c>
      <c r="Q58" s="99">
        <f>SUM(Q17+Q31+Q40+Q45+Q46+Q47+Q50+Q56+Q57)</f>
        <v>1290442</v>
      </c>
      <c r="R58" s="99">
        <f>SUM(R17+R31+R40+R45+R46+R47+R50+R56+R57)</f>
        <v>7861</v>
      </c>
      <c r="S58" s="99">
        <f t="shared" si="40"/>
        <v>589289</v>
      </c>
      <c r="T58" s="99">
        <f t="shared" si="40"/>
        <v>559621</v>
      </c>
      <c r="U58" s="99">
        <f>SUM(U17+U31+U40+U45+U46+U47+U50+U56+U57)</f>
        <v>581148</v>
      </c>
      <c r="V58" s="99">
        <v>559072</v>
      </c>
      <c r="W58" s="129">
        <v>559072</v>
      </c>
      <c r="X58" s="137">
        <f t="shared" si="0"/>
        <v>1.0719596332173824</v>
      </c>
      <c r="Y58" s="99">
        <f t="shared" si="1"/>
        <v>152.66251007858457</v>
      </c>
      <c r="Z58" s="117">
        <f t="shared" si="2"/>
        <v>1.0762149453906971</v>
      </c>
      <c r="AA58" s="99">
        <f t="shared" si="3"/>
        <v>156.89745982732666</v>
      </c>
      <c r="AB58" s="117">
        <f t="shared" si="4"/>
        <v>0.92194875607583482</v>
      </c>
      <c r="AC58" s="99">
        <f t="shared" si="7"/>
        <v>201.71841834988018</v>
      </c>
      <c r="AD58" s="117">
        <f t="shared" si="5"/>
        <v>1.0403006865954796</v>
      </c>
      <c r="AE58" s="99">
        <f t="shared" si="8"/>
        <v>145.82055166499927</v>
      </c>
      <c r="AF58" s="117">
        <f t="shared" si="6"/>
        <v>1.0303333224213962</v>
      </c>
      <c r="AG58" s="99">
        <f t="shared" si="9"/>
        <v>158.1328568041028</v>
      </c>
    </row>
    <row r="59" spans="2:33" s="97" customFormat="1" ht="20.100000000000001" customHeight="1">
      <c r="B59" s="100"/>
      <c r="C59" s="100"/>
      <c r="D59" s="101"/>
      <c r="E59" s="101"/>
      <c r="F59" s="101"/>
      <c r="G59" s="101"/>
      <c r="H59" s="101"/>
      <c r="I59" s="101"/>
      <c r="J59" s="101"/>
      <c r="K59" s="101"/>
      <c r="L59" s="101"/>
      <c r="M59" s="101"/>
      <c r="N59" s="101"/>
      <c r="O59" s="101"/>
      <c r="P59" s="101"/>
      <c r="Q59" s="101"/>
      <c r="R59" s="101"/>
      <c r="S59" s="101"/>
      <c r="T59" s="101"/>
      <c r="U59" s="101"/>
      <c r="V59" s="101"/>
      <c r="W59" s="101"/>
      <c r="X59" s="102"/>
      <c r="Y59" s="103"/>
      <c r="Z59" s="102"/>
      <c r="AA59" s="103"/>
      <c r="AB59" s="102"/>
      <c r="AC59" s="103"/>
      <c r="AD59" s="102"/>
      <c r="AE59" s="103"/>
      <c r="AF59" s="102"/>
      <c r="AG59" s="103"/>
    </row>
    <row r="60" spans="2:33" s="97" customFormat="1" ht="52.5" customHeight="1">
      <c r="B60" s="226" t="s">
        <v>152</v>
      </c>
      <c r="C60" s="226"/>
      <c r="D60" s="101"/>
      <c r="E60" s="101"/>
      <c r="F60" s="101"/>
      <c r="G60" s="101"/>
      <c r="H60" s="101"/>
      <c r="I60" s="101"/>
      <c r="J60" s="101"/>
      <c r="K60" s="101"/>
      <c r="L60" s="101"/>
      <c r="M60" s="101"/>
      <c r="N60" s="101"/>
      <c r="O60" s="101"/>
      <c r="P60" s="101"/>
      <c r="Q60" s="101"/>
      <c r="R60" s="101"/>
      <c r="S60" s="101"/>
      <c r="T60" s="101"/>
      <c r="U60" s="101"/>
      <c r="V60" s="101"/>
      <c r="W60" s="101"/>
      <c r="X60" s="102"/>
      <c r="Y60" s="103"/>
      <c r="Z60" s="102"/>
      <c r="AA60" s="103"/>
      <c r="AB60" s="102"/>
      <c r="AC60" s="103"/>
      <c r="AD60" s="102"/>
      <c r="AE60" s="103"/>
      <c r="AF60" s="102"/>
      <c r="AG60" s="103"/>
    </row>
    <row r="61" spans="2:33" ht="27.75" customHeight="1">
      <c r="B61" s="203" t="s">
        <v>0</v>
      </c>
      <c r="C61" s="204"/>
      <c r="D61" s="209" t="s">
        <v>1</v>
      </c>
      <c r="E61" s="210"/>
      <c r="F61" s="210"/>
      <c r="G61" s="210"/>
      <c r="H61" s="211"/>
      <c r="I61" s="215" t="s">
        <v>2</v>
      </c>
      <c r="J61" s="216"/>
      <c r="K61" s="216"/>
      <c r="L61" s="216"/>
      <c r="M61" s="216"/>
      <c r="N61" s="216"/>
      <c r="O61" s="216"/>
      <c r="P61" s="216"/>
      <c r="Q61" s="216"/>
      <c r="R61" s="217"/>
      <c r="S61" s="221" t="s">
        <v>3</v>
      </c>
      <c r="T61" s="222"/>
      <c r="U61" s="222"/>
      <c r="V61" s="222"/>
      <c r="W61" s="222"/>
      <c r="X61" s="198" t="s">
        <v>4</v>
      </c>
      <c r="Y61" s="199"/>
      <c r="Z61" s="199"/>
      <c r="AA61" s="199"/>
      <c r="AB61" s="199"/>
      <c r="AC61" s="199"/>
      <c r="AD61" s="199"/>
      <c r="AE61" s="199"/>
      <c r="AF61" s="199"/>
      <c r="AG61" s="199"/>
    </row>
    <row r="62" spans="2:33" ht="15.75" customHeight="1">
      <c r="B62" s="205"/>
      <c r="C62" s="206"/>
      <c r="D62" s="212"/>
      <c r="E62" s="213"/>
      <c r="F62" s="213"/>
      <c r="G62" s="213"/>
      <c r="H62" s="214"/>
      <c r="I62" s="218"/>
      <c r="J62" s="219"/>
      <c r="K62" s="219"/>
      <c r="L62" s="219"/>
      <c r="M62" s="219"/>
      <c r="N62" s="219"/>
      <c r="O62" s="219"/>
      <c r="P62" s="219"/>
      <c r="Q62" s="219"/>
      <c r="R62" s="220"/>
      <c r="S62" s="223"/>
      <c r="T62" s="224"/>
      <c r="U62" s="224"/>
      <c r="V62" s="224"/>
      <c r="W62" s="224"/>
      <c r="X62" s="200" t="s">
        <v>5</v>
      </c>
      <c r="Y62" s="201"/>
      <c r="Z62" s="202" t="s">
        <v>6</v>
      </c>
      <c r="AA62" s="201"/>
      <c r="AB62" s="202" t="s">
        <v>7</v>
      </c>
      <c r="AC62" s="201"/>
      <c r="AD62" s="202" t="s">
        <v>8</v>
      </c>
      <c r="AE62" s="201"/>
      <c r="AF62" s="194">
        <f>H4</f>
        <v>2015</v>
      </c>
      <c r="AG62" s="195"/>
    </row>
    <row r="63" spans="2:33" ht="69" customHeight="1">
      <c r="B63" s="207"/>
      <c r="C63" s="208"/>
      <c r="D63" s="70" t="s">
        <v>5</v>
      </c>
      <c r="E63" s="70" t="s">
        <v>6</v>
      </c>
      <c r="F63" s="70" t="s">
        <v>7</v>
      </c>
      <c r="G63" s="70" t="s">
        <v>8</v>
      </c>
      <c r="H63" s="71">
        <f>H4</f>
        <v>2015</v>
      </c>
      <c r="I63" s="70" t="s">
        <v>5</v>
      </c>
      <c r="J63" s="72" t="s">
        <v>9</v>
      </c>
      <c r="K63" s="70" t="s">
        <v>6</v>
      </c>
      <c r="L63" s="72" t="s">
        <v>9</v>
      </c>
      <c r="M63" s="70" t="s">
        <v>7</v>
      </c>
      <c r="N63" s="72" t="s">
        <v>9</v>
      </c>
      <c r="O63" s="70" t="s">
        <v>8</v>
      </c>
      <c r="P63" s="72" t="s">
        <v>9</v>
      </c>
      <c r="Q63" s="71">
        <f>H4</f>
        <v>2015</v>
      </c>
      <c r="R63" s="73" t="s">
        <v>9</v>
      </c>
      <c r="S63" s="70" t="s">
        <v>5</v>
      </c>
      <c r="T63" s="70" t="s">
        <v>6</v>
      </c>
      <c r="U63" s="70" t="s">
        <v>7</v>
      </c>
      <c r="V63" s="70" t="s">
        <v>8</v>
      </c>
      <c r="W63" s="74">
        <f>H4</f>
        <v>2015</v>
      </c>
      <c r="X63" s="130" t="s">
        <v>10</v>
      </c>
      <c r="Y63" s="75" t="s">
        <v>11</v>
      </c>
      <c r="Z63" s="76" t="s">
        <v>10</v>
      </c>
      <c r="AA63" s="75" t="s">
        <v>11</v>
      </c>
      <c r="AB63" s="76" t="s">
        <v>10</v>
      </c>
      <c r="AC63" s="75" t="s">
        <v>11</v>
      </c>
      <c r="AD63" s="76" t="s">
        <v>10</v>
      </c>
      <c r="AE63" s="75" t="s">
        <v>11</v>
      </c>
      <c r="AF63" s="77" t="s">
        <v>10</v>
      </c>
      <c r="AG63" s="78" t="s">
        <v>11</v>
      </c>
    </row>
    <row r="64" spans="2:33" s="98" customFormat="1" ht="18" customHeight="1">
      <c r="B64" s="191" t="s">
        <v>103</v>
      </c>
      <c r="C64" s="192"/>
      <c r="D64" s="115">
        <f>SUM(D8+D21+D49+D24+D26+D20+D25)</f>
        <v>14238</v>
      </c>
      <c r="E64" s="115">
        <f>SUM(E8+E21+E49+E24+E26+E20+E25)</f>
        <v>13188</v>
      </c>
      <c r="F64" s="115">
        <f t="shared" ref="F64:W64" si="41">SUM(F8+F21+F49+F24+F26+F20+F25)</f>
        <v>11881</v>
      </c>
      <c r="G64" s="115">
        <f t="shared" si="41"/>
        <v>13987</v>
      </c>
      <c r="H64" s="115">
        <f>SUM(H8+H21+H49+H24+H26+H20+H25)</f>
        <v>53294</v>
      </c>
      <c r="I64" s="115">
        <f t="shared" si="41"/>
        <v>14368</v>
      </c>
      <c r="J64" s="115">
        <f t="shared" si="41"/>
        <v>107</v>
      </c>
      <c r="K64" s="115">
        <f t="shared" si="41"/>
        <v>13019</v>
      </c>
      <c r="L64" s="115"/>
      <c r="M64" s="115">
        <f t="shared" si="41"/>
        <v>10888</v>
      </c>
      <c r="N64" s="115">
        <f t="shared" si="41"/>
        <v>6</v>
      </c>
      <c r="O64" s="115">
        <f t="shared" si="41"/>
        <v>13554</v>
      </c>
      <c r="P64" s="115">
        <f t="shared" si="41"/>
        <v>2</v>
      </c>
      <c r="Q64" s="115">
        <f>SUM(Q8+Q21+Q49+Q24+Q26+Q20+Q25)</f>
        <v>51829</v>
      </c>
      <c r="R64" s="115">
        <f t="shared" si="41"/>
        <v>682</v>
      </c>
      <c r="S64" s="115">
        <f t="shared" si="41"/>
        <v>29666</v>
      </c>
      <c r="T64" s="115">
        <f t="shared" si="41"/>
        <v>29395</v>
      </c>
      <c r="U64" s="115">
        <f>SUM(U8+U21+U49+U24+U26+U20+U25)</f>
        <v>30396</v>
      </c>
      <c r="V64" s="115">
        <f t="shared" si="41"/>
        <v>30817</v>
      </c>
      <c r="W64" s="138">
        <f t="shared" si="41"/>
        <v>30817</v>
      </c>
      <c r="X64" s="139">
        <f t="shared" ref="X64:X71" si="42">IFERROR(I64/D64,0)</f>
        <v>1.0091304958561595</v>
      </c>
      <c r="Y64" s="115">
        <f t="shared" ref="Y64:Y71" si="43">IFERROR((S64/I64)*91.25,0)</f>
        <v>188.40635439866369</v>
      </c>
      <c r="Z64" s="104">
        <f t="shared" ref="Z64:Z71" si="44">IFERROR(K64/E64,0)</f>
        <v>0.98718531998786774</v>
      </c>
      <c r="AA64" s="115">
        <f t="shared" ref="AA64:AA71" si="45">IFERROR((T64/K64)*91.25,0)</f>
        <v>206.02916890698208</v>
      </c>
      <c r="AB64" s="104">
        <f t="shared" ref="AB64:AB71" si="46">IFERROR(M64/F64,0)</f>
        <v>0.91642117666863054</v>
      </c>
      <c r="AC64" s="115">
        <f t="shared" si="7"/>
        <v>254.74237692872887</v>
      </c>
      <c r="AD64" s="104">
        <f t="shared" ref="AD64:AD71" si="47">IFERROR(O64/G64,0)</f>
        <v>0.96904268249088443</v>
      </c>
      <c r="AE64" s="115">
        <f t="shared" si="8"/>
        <v>207.47021174561016</v>
      </c>
      <c r="AF64" s="104">
        <f t="shared" ref="AF64:AF71" si="48">IFERROR(Q64/H64,0)</f>
        <v>0.97251097684542354</v>
      </c>
      <c r="AG64" s="115">
        <f t="shared" si="9"/>
        <v>217.02531401339019</v>
      </c>
    </row>
    <row r="65" spans="2:37" s="98" customFormat="1" ht="18" customHeight="1">
      <c r="B65" s="191" t="s">
        <v>104</v>
      </c>
      <c r="C65" s="192"/>
      <c r="D65" s="115">
        <f>SUM(D9+D12+D13+D14+D15+D30+D48)</f>
        <v>74165</v>
      </c>
      <c r="E65" s="115">
        <f t="shared" ref="E65:W65" si="49">SUM(E9+E12+E13+E14+E15+E30+E48)</f>
        <v>58330</v>
      </c>
      <c r="F65" s="115">
        <f t="shared" si="49"/>
        <v>53073</v>
      </c>
      <c r="G65" s="115">
        <f t="shared" si="49"/>
        <v>60213</v>
      </c>
      <c r="H65" s="115">
        <f t="shared" si="49"/>
        <v>245781</v>
      </c>
      <c r="I65" s="115">
        <f t="shared" si="49"/>
        <v>77488</v>
      </c>
      <c r="J65" s="115">
        <f t="shared" si="49"/>
        <v>3600</v>
      </c>
      <c r="K65" s="115">
        <f t="shared" si="49"/>
        <v>70857</v>
      </c>
      <c r="L65" s="115">
        <f t="shared" si="49"/>
        <v>505</v>
      </c>
      <c r="M65" s="115">
        <f t="shared" si="49"/>
        <v>52284</v>
      </c>
      <c r="N65" s="115">
        <f t="shared" si="49"/>
        <v>404</v>
      </c>
      <c r="O65" s="115">
        <f t="shared" si="49"/>
        <v>68629</v>
      </c>
      <c r="P65" s="115">
        <f t="shared" si="49"/>
        <v>1453</v>
      </c>
      <c r="Q65" s="115">
        <f>SUM(Q9+Q12+Q13+Q14+Q15+Q30+Q48)</f>
        <v>269258</v>
      </c>
      <c r="R65" s="115">
        <f t="shared" si="49"/>
        <v>5962</v>
      </c>
      <c r="S65" s="115">
        <f t="shared" si="49"/>
        <v>257671</v>
      </c>
      <c r="T65" s="115">
        <f t="shared" si="49"/>
        <v>241259</v>
      </c>
      <c r="U65" s="115">
        <f t="shared" si="49"/>
        <v>241644</v>
      </c>
      <c r="V65" s="115">
        <f t="shared" si="49"/>
        <v>231885</v>
      </c>
      <c r="W65" s="138">
        <f t="shared" si="49"/>
        <v>231885</v>
      </c>
      <c r="X65" s="139">
        <f t="shared" si="42"/>
        <v>1.044805501247219</v>
      </c>
      <c r="Y65" s="115">
        <f t="shared" si="43"/>
        <v>303.43380587962008</v>
      </c>
      <c r="Z65" s="104">
        <f t="shared" si="44"/>
        <v>1.21476084347677</v>
      </c>
      <c r="AA65" s="115">
        <f t="shared" si="45"/>
        <v>310.69455029143205</v>
      </c>
      <c r="AB65" s="104">
        <f t="shared" si="46"/>
        <v>0.98513368379401955</v>
      </c>
      <c r="AC65" s="115">
        <f t="shared" si="7"/>
        <v>421.73542575166402</v>
      </c>
      <c r="AD65" s="104">
        <f t="shared" si="47"/>
        <v>1.1397704814574925</v>
      </c>
      <c r="AE65" s="115">
        <f t="shared" si="8"/>
        <v>308.31727476722671</v>
      </c>
      <c r="AF65" s="104">
        <f t="shared" si="48"/>
        <v>1.0955199954430976</v>
      </c>
      <c r="AG65" s="115">
        <f t="shared" si="9"/>
        <v>314.33801409800265</v>
      </c>
    </row>
    <row r="66" spans="2:37" s="81" customFormat="1" ht="18" customHeight="1">
      <c r="B66" s="191" t="s">
        <v>105</v>
      </c>
      <c r="C66" s="192"/>
      <c r="D66" s="115">
        <f>SUM(D45+D47)</f>
        <v>3915</v>
      </c>
      <c r="E66" s="115">
        <f t="shared" ref="E66:W66" si="50">SUM(E45+E47)</f>
        <v>4855</v>
      </c>
      <c r="F66" s="115">
        <f t="shared" si="50"/>
        <v>3740</v>
      </c>
      <c r="G66" s="115">
        <f t="shared" si="50"/>
        <v>5265</v>
      </c>
      <c r="H66" s="115">
        <f t="shared" si="50"/>
        <v>17775</v>
      </c>
      <c r="I66" s="115">
        <f t="shared" si="50"/>
        <v>4854</v>
      </c>
      <c r="J66" s="115">
        <f t="shared" si="50"/>
        <v>0</v>
      </c>
      <c r="K66" s="115">
        <f t="shared" si="50"/>
        <v>4299</v>
      </c>
      <c r="L66" s="115">
        <f t="shared" si="50"/>
        <v>0</v>
      </c>
      <c r="M66" s="115">
        <f t="shared" si="50"/>
        <v>3405</v>
      </c>
      <c r="N66" s="115">
        <f t="shared" si="50"/>
        <v>0</v>
      </c>
      <c r="O66" s="115">
        <f t="shared" si="50"/>
        <v>5002</v>
      </c>
      <c r="P66" s="115">
        <f t="shared" si="50"/>
        <v>0</v>
      </c>
      <c r="Q66" s="115">
        <f t="shared" si="50"/>
        <v>17560</v>
      </c>
      <c r="R66" s="115">
        <f t="shared" si="50"/>
        <v>0</v>
      </c>
      <c r="S66" s="115">
        <f t="shared" si="50"/>
        <v>14594</v>
      </c>
      <c r="T66" s="115">
        <f t="shared" si="50"/>
        <v>15149</v>
      </c>
      <c r="U66" s="115">
        <f t="shared" si="50"/>
        <v>15484</v>
      </c>
      <c r="V66" s="115">
        <f t="shared" si="50"/>
        <v>15746</v>
      </c>
      <c r="W66" s="138">
        <f t="shared" si="50"/>
        <v>15746</v>
      </c>
      <c r="X66" s="139">
        <f t="shared" si="42"/>
        <v>1.2398467432950191</v>
      </c>
      <c r="Y66" s="115">
        <f t="shared" si="43"/>
        <v>274.35156571899466</v>
      </c>
      <c r="Z66" s="104">
        <f t="shared" si="44"/>
        <v>0.88547888774459316</v>
      </c>
      <c r="AA66" s="115">
        <f t="shared" si="45"/>
        <v>321.55065131425914</v>
      </c>
      <c r="AB66" s="104">
        <f t="shared" si="46"/>
        <v>0.91042780748663099</v>
      </c>
      <c r="AC66" s="115">
        <f t="shared" si="7"/>
        <v>414.95301027900143</v>
      </c>
      <c r="AD66" s="104">
        <f t="shared" si="47"/>
        <v>0.95004748338081668</v>
      </c>
      <c r="AE66" s="115">
        <f t="shared" si="8"/>
        <v>287.24960015993605</v>
      </c>
      <c r="AF66" s="104">
        <f t="shared" si="48"/>
        <v>0.98790436005625881</v>
      </c>
      <c r="AG66" s="115">
        <f t="shared" si="9"/>
        <v>327.29441913439638</v>
      </c>
    </row>
    <row r="67" spans="2:37" s="81" customFormat="1" ht="18" customHeight="1">
      <c r="B67" s="191" t="s">
        <v>106</v>
      </c>
      <c r="C67" s="192"/>
      <c r="D67" s="115">
        <f t="shared" ref="D67:W67" si="51">SUM(D10+D33)</f>
        <v>26610</v>
      </c>
      <c r="E67" s="115">
        <f t="shared" si="51"/>
        <v>26453</v>
      </c>
      <c r="F67" s="115">
        <f t="shared" si="51"/>
        <v>22343</v>
      </c>
      <c r="G67" s="115">
        <f t="shared" si="51"/>
        <v>33445</v>
      </c>
      <c r="H67" s="115">
        <f t="shared" si="51"/>
        <v>108851</v>
      </c>
      <c r="I67" s="115">
        <f t="shared" si="51"/>
        <v>30583</v>
      </c>
      <c r="J67" s="115">
        <f t="shared" si="51"/>
        <v>503</v>
      </c>
      <c r="K67" s="115">
        <f t="shared" si="51"/>
        <v>26067</v>
      </c>
      <c r="L67" s="115">
        <f t="shared" si="51"/>
        <v>11</v>
      </c>
      <c r="M67" s="115">
        <f t="shared" si="51"/>
        <v>23630</v>
      </c>
      <c r="N67" s="115">
        <f t="shared" si="51"/>
        <v>7</v>
      </c>
      <c r="O67" s="115">
        <f t="shared" si="51"/>
        <v>30286</v>
      </c>
      <c r="P67" s="115">
        <f t="shared" si="51"/>
        <v>8</v>
      </c>
      <c r="Q67" s="115">
        <f t="shared" si="51"/>
        <v>110566</v>
      </c>
      <c r="R67" s="115">
        <f t="shared" si="51"/>
        <v>529</v>
      </c>
      <c r="S67" s="115">
        <f t="shared" si="51"/>
        <v>78192</v>
      </c>
      <c r="T67" s="115">
        <f t="shared" si="51"/>
        <v>77603</v>
      </c>
      <c r="U67" s="115">
        <f t="shared" si="51"/>
        <v>76309</v>
      </c>
      <c r="V67" s="115">
        <f t="shared" si="51"/>
        <v>79468</v>
      </c>
      <c r="W67" s="138">
        <f t="shared" si="51"/>
        <v>79468</v>
      </c>
      <c r="X67" s="139">
        <f t="shared" si="42"/>
        <v>1.1493047726418639</v>
      </c>
      <c r="Y67" s="115">
        <f t="shared" si="43"/>
        <v>233.30019945721477</v>
      </c>
      <c r="Z67" s="104">
        <f t="shared" si="44"/>
        <v>0.98540808225910104</v>
      </c>
      <c r="AA67" s="115">
        <f t="shared" si="45"/>
        <v>271.65664441631185</v>
      </c>
      <c r="AB67" s="104">
        <f t="shared" si="46"/>
        <v>1.0576019334914739</v>
      </c>
      <c r="AC67" s="115">
        <f t="shared" si="7"/>
        <v>294.67610029623359</v>
      </c>
      <c r="AD67" s="104">
        <f t="shared" si="47"/>
        <v>0.90554641949469283</v>
      </c>
      <c r="AE67" s="115">
        <f t="shared" si="8"/>
        <v>239.43257610777258</v>
      </c>
      <c r="AF67" s="104">
        <f t="shared" si="48"/>
        <v>1.0157554822647472</v>
      </c>
      <c r="AG67" s="115">
        <f t="shared" si="9"/>
        <v>262.33941718068849</v>
      </c>
    </row>
    <row r="68" spans="2:37" s="81" customFormat="1" ht="18" customHeight="1">
      <c r="B68" s="191" t="s">
        <v>107</v>
      </c>
      <c r="C68" s="192"/>
      <c r="D68" s="115">
        <f>SUM(D32+D34+D35+D36+D37+D38+D46)</f>
        <v>10349</v>
      </c>
      <c r="E68" s="115">
        <f t="shared" ref="E68:W68" si="52">SUM(E32+E34+E35+E36+E37+E38+E46)</f>
        <v>9256</v>
      </c>
      <c r="F68" s="115">
        <f t="shared" si="52"/>
        <v>9901</v>
      </c>
      <c r="G68" s="115">
        <f t="shared" si="52"/>
        <v>24562</v>
      </c>
      <c r="H68" s="115">
        <f t="shared" si="52"/>
        <v>54068</v>
      </c>
      <c r="I68" s="115">
        <f t="shared" si="52"/>
        <v>11444</v>
      </c>
      <c r="J68" s="115">
        <f t="shared" si="52"/>
        <v>674</v>
      </c>
      <c r="K68" s="115">
        <f t="shared" si="52"/>
        <v>10508</v>
      </c>
      <c r="L68" s="115">
        <f t="shared" si="52"/>
        <v>0</v>
      </c>
      <c r="M68" s="115">
        <f t="shared" si="52"/>
        <v>7900</v>
      </c>
      <c r="N68" s="115">
        <f t="shared" si="52"/>
        <v>0</v>
      </c>
      <c r="O68" s="115">
        <f t="shared" si="52"/>
        <v>12998</v>
      </c>
      <c r="P68" s="115">
        <f t="shared" si="52"/>
        <v>0</v>
      </c>
      <c r="Q68" s="115">
        <f t="shared" si="52"/>
        <v>42850</v>
      </c>
      <c r="R68" s="115">
        <f t="shared" si="52"/>
        <v>674</v>
      </c>
      <c r="S68" s="115">
        <f t="shared" si="52"/>
        <v>46629</v>
      </c>
      <c r="T68" s="115">
        <f t="shared" si="52"/>
        <v>47118</v>
      </c>
      <c r="U68" s="115">
        <f t="shared" si="52"/>
        <v>49119</v>
      </c>
      <c r="V68" s="115">
        <f t="shared" si="52"/>
        <v>60676</v>
      </c>
      <c r="W68" s="138">
        <f t="shared" si="52"/>
        <v>60676</v>
      </c>
      <c r="X68" s="139">
        <f t="shared" si="42"/>
        <v>1.1058073243791671</v>
      </c>
      <c r="Y68" s="115">
        <f t="shared" si="43"/>
        <v>371.80148986368403</v>
      </c>
      <c r="Z68" s="104">
        <f t="shared" si="44"/>
        <v>1.1352636127917026</v>
      </c>
      <c r="AA68" s="115">
        <f t="shared" si="45"/>
        <v>409.16611153406927</v>
      </c>
      <c r="AB68" s="104">
        <f t="shared" si="46"/>
        <v>0.7978992021007979</v>
      </c>
      <c r="AC68" s="115">
        <f t="shared" si="7"/>
        <v>567.35553797468356</v>
      </c>
      <c r="AD68" s="104">
        <f t="shared" si="47"/>
        <v>0.52919143392231904</v>
      </c>
      <c r="AE68" s="115">
        <f t="shared" si="8"/>
        <v>425.96437913525159</v>
      </c>
      <c r="AF68" s="104">
        <f t="shared" si="48"/>
        <v>0.79252052970333653</v>
      </c>
      <c r="AG68" s="115">
        <f t="shared" si="9"/>
        <v>516.84340723453909</v>
      </c>
    </row>
    <row r="69" spans="2:37" s="81" customFormat="1" ht="18" customHeight="1">
      <c r="B69" s="191" t="s">
        <v>108</v>
      </c>
      <c r="C69" s="192"/>
      <c r="D69" s="115">
        <f>SUM(D56:D57)</f>
        <v>46911</v>
      </c>
      <c r="E69" s="115">
        <f t="shared" ref="E69:W69" si="53">SUM(E56:E57)</f>
        <v>44472</v>
      </c>
      <c r="F69" s="115">
        <f t="shared" si="53"/>
        <v>47242</v>
      </c>
      <c r="G69" s="115">
        <f t="shared" si="53"/>
        <v>38730</v>
      </c>
      <c r="H69" s="115">
        <f t="shared" si="53"/>
        <v>177355</v>
      </c>
      <c r="I69" s="115">
        <f t="shared" si="53"/>
        <v>61135</v>
      </c>
      <c r="J69" s="115">
        <f t="shared" si="53"/>
        <v>0</v>
      </c>
      <c r="K69" s="115">
        <f t="shared" si="53"/>
        <v>56992</v>
      </c>
      <c r="L69" s="115">
        <f t="shared" si="53"/>
        <v>0</v>
      </c>
      <c r="M69" s="115">
        <f t="shared" si="53"/>
        <v>31398</v>
      </c>
      <c r="N69" s="115">
        <f t="shared" si="53"/>
        <v>0</v>
      </c>
      <c r="O69" s="115">
        <f t="shared" si="53"/>
        <v>54517</v>
      </c>
      <c r="P69" s="115">
        <f t="shared" si="53"/>
        <v>0</v>
      </c>
      <c r="Q69" s="115">
        <f t="shared" si="53"/>
        <v>204042</v>
      </c>
      <c r="R69" s="115">
        <f t="shared" si="53"/>
        <v>0</v>
      </c>
      <c r="S69" s="115">
        <f t="shared" si="53"/>
        <v>116291</v>
      </c>
      <c r="T69" s="115">
        <f t="shared" si="53"/>
        <v>102873</v>
      </c>
      <c r="U69" s="115">
        <f t="shared" si="53"/>
        <v>118717</v>
      </c>
      <c r="V69" s="115">
        <f t="shared" si="53"/>
        <v>100877</v>
      </c>
      <c r="W69" s="138">
        <f t="shared" si="53"/>
        <v>100877</v>
      </c>
      <c r="X69" s="139">
        <f t="shared" si="42"/>
        <v>1.303212466159323</v>
      </c>
      <c r="Y69" s="115">
        <f t="shared" si="43"/>
        <v>173.57575447779504</v>
      </c>
      <c r="Z69" s="104">
        <f t="shared" si="44"/>
        <v>1.2815254542183847</v>
      </c>
      <c r="AA69" s="115">
        <f t="shared" si="45"/>
        <v>164.71015668865806</v>
      </c>
      <c r="AB69" s="104">
        <f t="shared" si="46"/>
        <v>0.66462046484060788</v>
      </c>
      <c r="AC69" s="115">
        <f t="shared" si="7"/>
        <v>345.0196270463087</v>
      </c>
      <c r="AD69" s="104">
        <f t="shared" si="47"/>
        <v>1.4076168344952233</v>
      </c>
      <c r="AE69" s="115">
        <f t="shared" si="8"/>
        <v>168.8468963809454</v>
      </c>
      <c r="AF69" s="104">
        <f t="shared" si="48"/>
        <v>1.1504722167404358</v>
      </c>
      <c r="AG69" s="115">
        <f t="shared" si="9"/>
        <v>180.45355858107644</v>
      </c>
    </row>
    <row r="70" spans="2:37" s="81" customFormat="1" ht="18" customHeight="1">
      <c r="B70" s="191" t="s">
        <v>109</v>
      </c>
      <c r="C70" s="192"/>
      <c r="D70" s="115">
        <f>D16</f>
        <v>115116</v>
      </c>
      <c r="E70" s="115">
        <f t="shared" ref="E70:W70" si="54">E16</f>
        <v>110505</v>
      </c>
      <c r="F70" s="115">
        <f t="shared" si="54"/>
        <v>102438</v>
      </c>
      <c r="G70" s="115">
        <f t="shared" si="54"/>
        <v>121262</v>
      </c>
      <c r="H70" s="115">
        <f t="shared" si="54"/>
        <v>449321</v>
      </c>
      <c r="I70" s="115">
        <f t="shared" si="54"/>
        <v>115015</v>
      </c>
      <c r="J70" s="115">
        <f t="shared" si="54"/>
        <v>0</v>
      </c>
      <c r="K70" s="115">
        <f t="shared" si="54"/>
        <v>108727</v>
      </c>
      <c r="L70" s="115">
        <f t="shared" si="54"/>
        <v>0</v>
      </c>
      <c r="M70" s="115">
        <f t="shared" si="54"/>
        <v>98481</v>
      </c>
      <c r="N70" s="115">
        <f t="shared" si="54"/>
        <v>0</v>
      </c>
      <c r="O70" s="115">
        <f t="shared" si="54"/>
        <v>124937</v>
      </c>
      <c r="P70" s="115">
        <f t="shared" si="54"/>
        <v>0</v>
      </c>
      <c r="Q70" s="115">
        <f t="shared" si="54"/>
        <v>447160</v>
      </c>
      <c r="R70" s="115">
        <f t="shared" si="54"/>
        <v>0</v>
      </c>
      <c r="S70" s="115">
        <f t="shared" si="54"/>
        <v>38322</v>
      </c>
      <c r="T70" s="115">
        <f t="shared" si="54"/>
        <v>37871</v>
      </c>
      <c r="U70" s="115">
        <f t="shared" si="54"/>
        <v>41503</v>
      </c>
      <c r="V70" s="115">
        <f t="shared" si="54"/>
        <v>32551</v>
      </c>
      <c r="W70" s="138">
        <f t="shared" si="54"/>
        <v>32551</v>
      </c>
      <c r="X70" s="139">
        <f t="shared" si="42"/>
        <v>0.99912262413565445</v>
      </c>
      <c r="Y70" s="115">
        <f t="shared" si="43"/>
        <v>30.403708211972354</v>
      </c>
      <c r="Z70" s="104">
        <f t="shared" si="44"/>
        <v>0.98391023030632097</v>
      </c>
      <c r="AA70" s="115">
        <f t="shared" si="45"/>
        <v>31.783538127604</v>
      </c>
      <c r="AB70" s="104">
        <f t="shared" si="46"/>
        <v>0.96137175657470864</v>
      </c>
      <c r="AC70" s="115">
        <f t="shared" si="7"/>
        <v>38.455628496867419</v>
      </c>
      <c r="AD70" s="104">
        <f t="shared" si="47"/>
        <v>1.0303062789662054</v>
      </c>
      <c r="AE70" s="115">
        <f t="shared" si="8"/>
        <v>23.774212202950284</v>
      </c>
      <c r="AF70" s="104">
        <f t="shared" si="48"/>
        <v>0.99519052080806369</v>
      </c>
      <c r="AG70" s="115">
        <f t="shared" si="9"/>
        <v>26.57016504159585</v>
      </c>
      <c r="AH70" s="81" t="s">
        <v>69</v>
      </c>
    </row>
    <row r="71" spans="2:37" s="85" customFormat="1" ht="35.1" customHeight="1">
      <c r="B71" s="193" t="s">
        <v>70</v>
      </c>
      <c r="C71" s="193"/>
      <c r="D71" s="99">
        <f>SUM(D64:D70)</f>
        <v>291304</v>
      </c>
      <c r="E71" s="99">
        <f t="shared" ref="E71:W71" si="55">SUM(E64:E70)</f>
        <v>267059</v>
      </c>
      <c r="F71" s="99">
        <f t="shared" si="55"/>
        <v>250618</v>
      </c>
      <c r="G71" s="99">
        <f t="shared" si="55"/>
        <v>297464</v>
      </c>
      <c r="H71" s="99">
        <f>SUM(H64:H70)</f>
        <v>1106445</v>
      </c>
      <c r="I71" s="99">
        <f t="shared" si="55"/>
        <v>314887</v>
      </c>
      <c r="J71" s="99">
        <f t="shared" si="55"/>
        <v>4884</v>
      </c>
      <c r="K71" s="99">
        <f>SUM(K64:K70)</f>
        <v>290469</v>
      </c>
      <c r="L71" s="99">
        <f t="shared" si="55"/>
        <v>516</v>
      </c>
      <c r="M71" s="99">
        <f t="shared" si="55"/>
        <v>227986</v>
      </c>
      <c r="N71" s="99">
        <f t="shared" si="55"/>
        <v>417</v>
      </c>
      <c r="O71" s="99">
        <f t="shared" si="55"/>
        <v>309923</v>
      </c>
      <c r="P71" s="99">
        <f t="shared" si="55"/>
        <v>1463</v>
      </c>
      <c r="Q71" s="99">
        <f>SUM(Q64:Q70)</f>
        <v>1143265</v>
      </c>
      <c r="R71" s="99">
        <f t="shared" si="55"/>
        <v>7847</v>
      </c>
      <c r="S71" s="99">
        <f t="shared" si="55"/>
        <v>581365</v>
      </c>
      <c r="T71" s="99">
        <f t="shared" si="55"/>
        <v>551268</v>
      </c>
      <c r="U71" s="99">
        <f t="shared" si="55"/>
        <v>573172</v>
      </c>
      <c r="V71" s="99">
        <f t="shared" si="55"/>
        <v>552020</v>
      </c>
      <c r="W71" s="129">
        <f t="shared" si="55"/>
        <v>552020</v>
      </c>
      <c r="X71" s="136">
        <f t="shared" si="42"/>
        <v>1.0809566638288524</v>
      </c>
      <c r="Y71" s="89">
        <f t="shared" si="43"/>
        <v>168.47172557139544</v>
      </c>
      <c r="Z71" s="94">
        <f t="shared" si="44"/>
        <v>1.0876585323842296</v>
      </c>
      <c r="AA71" s="89">
        <f t="shared" si="45"/>
        <v>173.17925492909743</v>
      </c>
      <c r="AB71" s="94">
        <f t="shared" si="46"/>
        <v>0.90969523338307701</v>
      </c>
      <c r="AC71" s="89">
        <f t="shared" si="7"/>
        <v>229.40858210591878</v>
      </c>
      <c r="AD71" s="94">
        <f t="shared" si="47"/>
        <v>1.0418840599198558</v>
      </c>
      <c r="AE71" s="89">
        <f>IFERROR((V71/O71)*91.25,0)</f>
        <v>162.53012845126048</v>
      </c>
      <c r="AF71" s="94">
        <f t="shared" si="48"/>
        <v>1.0332777499107502</v>
      </c>
      <c r="AG71" s="89">
        <f t="shared" si="9"/>
        <v>176.23849238802902</v>
      </c>
    </row>
    <row r="72" spans="2:37">
      <c r="AK72" s="81"/>
    </row>
  </sheetData>
  <sheetProtection sheet="1" objects="1" scenarios="1" selectLockedCells="1"/>
  <mergeCells count="37">
    <mergeCell ref="B1:C1"/>
    <mergeCell ref="B60:C60"/>
    <mergeCell ref="X2:AG2"/>
    <mergeCell ref="X3:Y3"/>
    <mergeCell ref="Z3:AA3"/>
    <mergeCell ref="AB3:AC3"/>
    <mergeCell ref="AD3:AE3"/>
    <mergeCell ref="AF3:AG3"/>
    <mergeCell ref="B51:B56"/>
    <mergeCell ref="B2:C4"/>
    <mergeCell ref="D2:H3"/>
    <mergeCell ref="I2:R3"/>
    <mergeCell ref="S2:W3"/>
    <mergeCell ref="B5:B17"/>
    <mergeCell ref="B18:B31"/>
    <mergeCell ref="B32:B40"/>
    <mergeCell ref="B41:B45"/>
    <mergeCell ref="B48:B50"/>
    <mergeCell ref="X61:AG61"/>
    <mergeCell ref="X62:Y62"/>
    <mergeCell ref="Z62:AA62"/>
    <mergeCell ref="AB62:AC62"/>
    <mergeCell ref="AD62:AE62"/>
    <mergeCell ref="B58:C58"/>
    <mergeCell ref="B61:C63"/>
    <mergeCell ref="D61:H62"/>
    <mergeCell ref="I61:R62"/>
    <mergeCell ref="S61:W62"/>
    <mergeCell ref="B69:C69"/>
    <mergeCell ref="B70:C70"/>
    <mergeCell ref="B71:C71"/>
    <mergeCell ref="AF62:AG62"/>
    <mergeCell ref="B64:C64"/>
    <mergeCell ref="B65:C65"/>
    <mergeCell ref="B66:C66"/>
    <mergeCell ref="B67:C67"/>
    <mergeCell ref="B68:C68"/>
  </mergeCells>
  <conditionalFormatting sqref="H5:H50 H54:H58">
    <cfRule type="expression" dxfId="12" priority="9">
      <formula>IF(OR(ISBLANK(H5),H5=0),FALSE,H5&lt;&gt;SUM(D5:G5))</formula>
    </cfRule>
  </conditionalFormatting>
  <conditionalFormatting sqref="Q5:Q50 Q54:Q58">
    <cfRule type="expression" dxfId="11" priority="8">
      <formula>IF(OR(ISBLANK(Q5),Q5=0),FALSE,Q5&lt;&gt;SUM(O5,M5,K5,I5))</formula>
    </cfRule>
  </conditionalFormatting>
  <conditionalFormatting sqref="W64:W71">
    <cfRule type="expression" dxfId="10" priority="7">
      <formula>W64&lt;&gt;V64</formula>
    </cfRule>
  </conditionalFormatting>
  <conditionalFormatting sqref="H51">
    <cfRule type="expression" dxfId="9" priority="6">
      <formula>IF(OR(ISBLANK(H51),H51=0),FALSE,H51&lt;&gt;SUM(D51:G51))</formula>
    </cfRule>
  </conditionalFormatting>
  <conditionalFormatting sqref="Q51">
    <cfRule type="expression" dxfId="8" priority="5">
      <formula>IF(OR(ISBLANK(Q51),Q51=0),FALSE,Q51&lt;&gt;SUM(O51,M51,K51,I51))</formula>
    </cfRule>
  </conditionalFormatting>
  <conditionalFormatting sqref="H52">
    <cfRule type="expression" dxfId="7" priority="4">
      <formula>IF(OR(ISBLANK(H52),H52=0),FALSE,H52&lt;&gt;SUM(D52:G52))</formula>
    </cfRule>
  </conditionalFormatting>
  <conditionalFormatting sqref="Q52">
    <cfRule type="expression" dxfId="6" priority="3">
      <formula>IF(OR(ISBLANK(Q52),Q52=0),FALSE,Q52&lt;&gt;SUM(O52,M52,K52,I52))</formula>
    </cfRule>
  </conditionalFormatting>
  <conditionalFormatting sqref="H53">
    <cfRule type="expression" dxfId="5" priority="2">
      <formula>IF(OR(ISBLANK(H53),H53=0),FALSE,H53&lt;&gt;SUM(D53:G53))</formula>
    </cfRule>
  </conditionalFormatting>
  <conditionalFormatting sqref="Q53">
    <cfRule type="expression" dxfId="4" priority="1">
      <formula>IF(OR(ISBLANK(Q53),Q53=0),FALSE,Q53&lt;&gt;SUM(O53,M53,K53,I53))</formula>
    </cfRule>
  </conditionalFormatting>
  <printOptions horizontalCentered="1"/>
  <pageMargins left="0.27559055118110237" right="0.27559055118110237" top="0.94488188976377963" bottom="0.35433070866141736" header="0" footer="0"/>
  <pageSetup paperSize="8" scale="56" fitToHeight="0" orientation="landscape" r:id="rId1"/>
  <headerFooter>
    <oddHeader>&amp;LOdjel za statistiku, analitiku, evidencije I strateški razvoj pravosuđa.&amp;R&amp;D</oddHeader>
    <oddFooter>Page &amp;P of &amp;N</oddFooter>
  </headerFooter>
  <rowBreaks count="1" manualBreakCount="1">
    <brk id="59" max="33" man="1"/>
  </rowBreaks>
  <ignoredErrors>
    <ignoredError sqref="H8 D30:E30 F30:W30 D50 E50:S50 T50:W50 G56 O56 U56 W5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outlinePr showOutlineSymbols="0"/>
    <pageSetUpPr fitToPage="1"/>
  </sheetPr>
  <dimension ref="B1:AK72"/>
  <sheetViews>
    <sheetView showGridLines="0" showRowColHeaders="0" showZeros="0" showOutlineSymbols="0" zoomScale="80" zoomScaleNormal="80" zoomScaleSheetLayoutView="50" workbookViewId="0">
      <pane xSplit="3" ySplit="4" topLeftCell="J5" activePane="bottomRight" state="frozen"/>
      <selection pane="topRight" activeCell="D1" sqref="D1"/>
      <selection pane="bottomLeft" activeCell="A5" sqref="A5"/>
      <selection pane="bottomRight" activeCell="Q11" sqref="Q11"/>
    </sheetView>
  </sheetViews>
  <sheetFormatPr defaultRowHeight="12.75"/>
  <cols>
    <col min="1" max="1" width="2.28515625" style="69" customWidth="1"/>
    <col min="2" max="2" width="26.140625" style="69" customWidth="1"/>
    <col min="3" max="3" width="30.7109375" style="69" customWidth="1"/>
    <col min="4" max="8" width="10.7109375" style="65" customWidth="1"/>
    <col min="9" max="23" width="10.7109375" style="66" customWidth="1"/>
    <col min="24" max="24" width="9.7109375" style="68" customWidth="1"/>
    <col min="25" max="25" width="9.7109375" style="69" customWidth="1"/>
    <col min="26" max="26" width="9.7109375" style="68" customWidth="1"/>
    <col min="27" max="27" width="9.7109375" style="69" customWidth="1"/>
    <col min="28" max="28" width="9.7109375" style="68" customWidth="1"/>
    <col min="29" max="29" width="9.7109375" style="69" customWidth="1"/>
    <col min="30" max="30" width="9.7109375" style="68" customWidth="1"/>
    <col min="31" max="31" width="9.7109375" style="69" customWidth="1"/>
    <col min="32" max="32" width="9.7109375" style="68" customWidth="1"/>
    <col min="33" max="33" width="9.7109375" style="69" customWidth="1"/>
    <col min="34" max="34" width="2.28515625" style="69" customWidth="1"/>
    <col min="35" max="35" width="9.140625" style="69" customWidth="1"/>
    <col min="36" max="16384" width="9.140625" style="69"/>
  </cols>
  <sheetData>
    <row r="1" spans="2:33" ht="56.25" customHeight="1">
      <c r="B1" s="225" t="s">
        <v>151</v>
      </c>
      <c r="C1" s="225"/>
      <c r="O1" s="67"/>
      <c r="P1" s="67"/>
      <c r="R1" s="67"/>
    </row>
    <row r="2" spans="2:33" ht="27.75" customHeight="1">
      <c r="B2" s="203" t="s">
        <v>0</v>
      </c>
      <c r="C2" s="204"/>
      <c r="D2" s="210" t="s">
        <v>1</v>
      </c>
      <c r="E2" s="210"/>
      <c r="F2" s="210"/>
      <c r="G2" s="210"/>
      <c r="H2" s="211"/>
      <c r="I2" s="216" t="s">
        <v>2</v>
      </c>
      <c r="J2" s="216"/>
      <c r="K2" s="216"/>
      <c r="L2" s="216"/>
      <c r="M2" s="216"/>
      <c r="N2" s="216"/>
      <c r="O2" s="216"/>
      <c r="P2" s="216"/>
      <c r="Q2" s="216"/>
      <c r="R2" s="217"/>
      <c r="S2" s="222" t="s">
        <v>3</v>
      </c>
      <c r="T2" s="222"/>
      <c r="U2" s="222"/>
      <c r="V2" s="222"/>
      <c r="W2" s="222"/>
      <c r="X2" s="198" t="s">
        <v>4</v>
      </c>
      <c r="Y2" s="199"/>
      <c r="Z2" s="199"/>
      <c r="AA2" s="199"/>
      <c r="AB2" s="199"/>
      <c r="AC2" s="199"/>
      <c r="AD2" s="199"/>
      <c r="AE2" s="199"/>
      <c r="AF2" s="199"/>
      <c r="AG2" s="199"/>
    </row>
    <row r="3" spans="2:33" ht="15.75" customHeight="1">
      <c r="B3" s="205"/>
      <c r="C3" s="206"/>
      <c r="D3" s="213"/>
      <c r="E3" s="213"/>
      <c r="F3" s="213"/>
      <c r="G3" s="213"/>
      <c r="H3" s="214"/>
      <c r="I3" s="219"/>
      <c r="J3" s="219"/>
      <c r="K3" s="219"/>
      <c r="L3" s="219"/>
      <c r="M3" s="219"/>
      <c r="N3" s="219"/>
      <c r="O3" s="219"/>
      <c r="P3" s="219"/>
      <c r="Q3" s="219"/>
      <c r="R3" s="220"/>
      <c r="S3" s="224"/>
      <c r="T3" s="224"/>
      <c r="U3" s="224"/>
      <c r="V3" s="224"/>
      <c r="W3" s="224"/>
      <c r="X3" s="200" t="s">
        <v>5</v>
      </c>
      <c r="Y3" s="201"/>
      <c r="Z3" s="202" t="s">
        <v>6</v>
      </c>
      <c r="AA3" s="201"/>
      <c r="AB3" s="202" t="s">
        <v>7</v>
      </c>
      <c r="AC3" s="201"/>
      <c r="AD3" s="202" t="s">
        <v>8</v>
      </c>
      <c r="AE3" s="201"/>
      <c r="AF3" s="194">
        <f>H4</f>
        <v>2016</v>
      </c>
      <c r="AG3" s="195"/>
    </row>
    <row r="4" spans="2:33" ht="69" customHeight="1">
      <c r="B4" s="207"/>
      <c r="C4" s="208"/>
      <c r="D4" s="70" t="s">
        <v>5</v>
      </c>
      <c r="E4" s="70" t="s">
        <v>6</v>
      </c>
      <c r="F4" s="70" t="s">
        <v>7</v>
      </c>
      <c r="G4" s="70" t="s">
        <v>8</v>
      </c>
      <c r="H4" s="116">
        <v>2016</v>
      </c>
      <c r="I4" s="70" t="s">
        <v>5</v>
      </c>
      <c r="J4" s="72" t="s">
        <v>9</v>
      </c>
      <c r="K4" s="70" t="s">
        <v>6</v>
      </c>
      <c r="L4" s="72" t="s">
        <v>9</v>
      </c>
      <c r="M4" s="70" t="s">
        <v>7</v>
      </c>
      <c r="N4" s="72" t="s">
        <v>9</v>
      </c>
      <c r="O4" s="70" t="s">
        <v>8</v>
      </c>
      <c r="P4" s="72" t="s">
        <v>9</v>
      </c>
      <c r="Q4" s="71">
        <f>H4</f>
        <v>2016</v>
      </c>
      <c r="R4" s="73" t="s">
        <v>9</v>
      </c>
      <c r="S4" s="70" t="s">
        <v>5</v>
      </c>
      <c r="T4" s="70" t="s">
        <v>6</v>
      </c>
      <c r="U4" s="70" t="s">
        <v>7</v>
      </c>
      <c r="V4" s="70" t="s">
        <v>8</v>
      </c>
      <c r="W4" s="74">
        <f>H4</f>
        <v>2016</v>
      </c>
      <c r="X4" s="130" t="s">
        <v>10</v>
      </c>
      <c r="Y4" s="75" t="s">
        <v>11</v>
      </c>
      <c r="Z4" s="76" t="s">
        <v>10</v>
      </c>
      <c r="AA4" s="75" t="s">
        <v>11</v>
      </c>
      <c r="AB4" s="76" t="s">
        <v>10</v>
      </c>
      <c r="AC4" s="75" t="s">
        <v>11</v>
      </c>
      <c r="AD4" s="76" t="s">
        <v>10</v>
      </c>
      <c r="AE4" s="75" t="s">
        <v>11</v>
      </c>
      <c r="AF4" s="77" t="s">
        <v>10</v>
      </c>
      <c r="AG4" s="78" t="s">
        <v>11</v>
      </c>
    </row>
    <row r="5" spans="2:33" s="81" customFormat="1" ht="18" customHeight="1">
      <c r="B5" s="196" t="s">
        <v>12</v>
      </c>
      <c r="C5" s="79" t="s">
        <v>13</v>
      </c>
      <c r="D5" s="105">
        <v>2311</v>
      </c>
      <c r="E5" s="105">
        <v>2220</v>
      </c>
      <c r="F5" s="105">
        <v>1911</v>
      </c>
      <c r="G5" s="105">
        <v>2247</v>
      </c>
      <c r="H5" s="105">
        <f>SUM(D5:G5)</f>
        <v>8689</v>
      </c>
      <c r="I5" s="106">
        <v>2250</v>
      </c>
      <c r="J5" s="106">
        <v>0</v>
      </c>
      <c r="K5" s="106">
        <v>2175</v>
      </c>
      <c r="L5" s="106"/>
      <c r="M5" s="106">
        <v>1902</v>
      </c>
      <c r="N5" s="106">
        <v>1</v>
      </c>
      <c r="O5" s="106">
        <v>2261</v>
      </c>
      <c r="P5" s="106"/>
      <c r="Q5" s="106">
        <f>I5+K5+M5+O5</f>
        <v>8588</v>
      </c>
      <c r="R5" s="106">
        <f>J5+L5+N5+P5</f>
        <v>1</v>
      </c>
      <c r="S5" s="107">
        <v>1513</v>
      </c>
      <c r="T5" s="107">
        <v>1554</v>
      </c>
      <c r="U5" s="107">
        <v>1560</v>
      </c>
      <c r="V5" s="107">
        <v>1545</v>
      </c>
      <c r="W5" s="107">
        <v>1545</v>
      </c>
      <c r="X5" s="131">
        <f>IFERROR(I5/D5,0)</f>
        <v>0.97360450021635658</v>
      </c>
      <c r="Y5" s="118">
        <f>IFERROR((S5/I5)*91.25,0)</f>
        <v>61.36055555555555</v>
      </c>
      <c r="Z5" s="80">
        <f t="shared" ref="Z5:Z71" si="0">IFERROR(K5/E5,0)</f>
        <v>0.97972972972972971</v>
      </c>
      <c r="AA5" s="118">
        <f>IFERROR((T5/K5)*91.25,0)</f>
        <v>65.196551724137933</v>
      </c>
      <c r="AB5" s="80">
        <f>IFERROR(M5/F5,0)</f>
        <v>0.9952904238618524</v>
      </c>
      <c r="AC5" s="118">
        <f>IFERROR((U5/M5)*91.25,0)</f>
        <v>74.84227129337539</v>
      </c>
      <c r="AD5" s="80">
        <f>IFERROR(O5/G5,0)</f>
        <v>1.0062305295950156</v>
      </c>
      <c r="AE5" s="118">
        <f>IFERROR((V5/O5)*91.25,0)</f>
        <v>62.353494029190621</v>
      </c>
      <c r="AF5" s="80">
        <f>IFERROR(Q5/H5,0)</f>
        <v>0.98837610772240769</v>
      </c>
      <c r="AG5" s="118">
        <f>IFERROR((W5/Q5)*365,0)</f>
        <v>65.664299021891011</v>
      </c>
    </row>
    <row r="6" spans="2:33" s="81" customFormat="1" ht="18" customHeight="1">
      <c r="B6" s="196"/>
      <c r="C6" s="79" t="s">
        <v>14</v>
      </c>
      <c r="D6" s="105">
        <v>2767</v>
      </c>
      <c r="E6" s="105">
        <v>2794</v>
      </c>
      <c r="F6" s="105">
        <v>2470</v>
      </c>
      <c r="G6" s="105">
        <v>2882</v>
      </c>
      <c r="H6" s="105">
        <f t="shared" ref="H6:H15" si="1">SUM(D6:G6)</f>
        <v>10913</v>
      </c>
      <c r="I6" s="106">
        <v>3334</v>
      </c>
      <c r="J6" s="106">
        <v>0</v>
      </c>
      <c r="K6" s="106">
        <v>2733</v>
      </c>
      <c r="L6" s="106">
        <v>1</v>
      </c>
      <c r="M6" s="106">
        <v>2409</v>
      </c>
      <c r="N6" s="106"/>
      <c r="O6" s="106">
        <v>2682</v>
      </c>
      <c r="P6" s="106">
        <v>1</v>
      </c>
      <c r="Q6" s="106">
        <f t="shared" ref="Q6:Q7" si="2">I6+K6+M6+O6</f>
        <v>11158</v>
      </c>
      <c r="R6" s="106">
        <f t="shared" ref="R6" si="3">J6+L6+N6+P6</f>
        <v>2</v>
      </c>
      <c r="S6" s="107">
        <v>2673</v>
      </c>
      <c r="T6" s="107">
        <v>2731</v>
      </c>
      <c r="U6" s="107">
        <v>2792</v>
      </c>
      <c r="V6" s="107">
        <v>2989</v>
      </c>
      <c r="W6" s="107">
        <v>2989</v>
      </c>
      <c r="X6" s="131">
        <f t="shared" ref="X6:X58" si="4">IFERROR(I6/D6,0)</f>
        <v>1.204915070473437</v>
      </c>
      <c r="Y6" s="118">
        <f t="shared" ref="Y6:Y58" si="5">IFERROR((S6/I6)*91.25,0)</f>
        <v>73.158743251349733</v>
      </c>
      <c r="Z6" s="80">
        <f t="shared" si="0"/>
        <v>0.97816750178954903</v>
      </c>
      <c r="AA6" s="118">
        <f t="shared" ref="AA6:AA71" si="6">IFERROR((T6/K6)*91.25,0)</f>
        <v>91.183223563849239</v>
      </c>
      <c r="AB6" s="80">
        <f t="shared" ref="AB6:AB71" si="7">IFERROR(M6/F6,0)</f>
        <v>0.97530364372469636</v>
      </c>
      <c r="AC6" s="118">
        <f t="shared" ref="AC6:AC71" si="8">IFERROR((U6/M6)*91.25,0)</f>
        <v>105.75757575757575</v>
      </c>
      <c r="AD6" s="80">
        <f t="shared" ref="AD6:AD71" si="9">IFERROR(O6/G6,0)</f>
        <v>0.93060374739764051</v>
      </c>
      <c r="AE6" s="118">
        <f t="shared" ref="AE6:AE70" si="10">IFERROR((V6/O6)*91.25,0)</f>
        <v>101.69509694258018</v>
      </c>
      <c r="AF6" s="80">
        <f t="shared" ref="AF6:AF71" si="11">IFERROR(Q6/H6,0)</f>
        <v>1.0224502886465683</v>
      </c>
      <c r="AG6" s="118">
        <f t="shared" ref="AG6:AG71" si="12">IFERROR((W6/Q6)*365,0)</f>
        <v>97.776035131744052</v>
      </c>
    </row>
    <row r="7" spans="2:33" s="81" customFormat="1" ht="18" customHeight="1">
      <c r="B7" s="196"/>
      <c r="C7" s="79" t="s">
        <v>15</v>
      </c>
      <c r="D7" s="105">
        <v>4638</v>
      </c>
      <c r="E7" s="105">
        <v>4316</v>
      </c>
      <c r="F7" s="105">
        <v>3719</v>
      </c>
      <c r="G7" s="105">
        <v>4671</v>
      </c>
      <c r="H7" s="105">
        <f t="shared" si="1"/>
        <v>17344</v>
      </c>
      <c r="I7" s="106">
        <v>4588</v>
      </c>
      <c r="J7" s="106">
        <v>1</v>
      </c>
      <c r="K7" s="106">
        <v>4463</v>
      </c>
      <c r="L7" s="106">
        <v>2</v>
      </c>
      <c r="M7" s="106">
        <v>2829</v>
      </c>
      <c r="N7" s="106">
        <v>5</v>
      </c>
      <c r="O7" s="106">
        <v>4138</v>
      </c>
      <c r="P7" s="106">
        <v>303</v>
      </c>
      <c r="Q7" s="106">
        <f t="shared" si="2"/>
        <v>16018</v>
      </c>
      <c r="R7" s="106">
        <f>J7+L7+N7+P7</f>
        <v>311</v>
      </c>
      <c r="S7" s="107">
        <v>22298</v>
      </c>
      <c r="T7" s="107">
        <v>22154</v>
      </c>
      <c r="U7" s="107">
        <v>23033</v>
      </c>
      <c r="V7" s="107">
        <v>23265</v>
      </c>
      <c r="W7" s="107">
        <v>23265</v>
      </c>
      <c r="X7" s="131">
        <f t="shared" si="4"/>
        <v>0.98921949115998276</v>
      </c>
      <c r="Y7" s="118">
        <f t="shared" si="5"/>
        <v>443.48136442894508</v>
      </c>
      <c r="Z7" s="80">
        <f t="shared" si="0"/>
        <v>1.034059314179796</v>
      </c>
      <c r="AA7" s="118">
        <f t="shared" si="6"/>
        <v>452.9582119650459</v>
      </c>
      <c r="AB7" s="80">
        <f t="shared" si="7"/>
        <v>0.76068835708523797</v>
      </c>
      <c r="AC7" s="118">
        <f t="shared" si="8"/>
        <v>742.93434075645098</v>
      </c>
      <c r="AD7" s="80">
        <f t="shared" si="9"/>
        <v>0.88589167201883967</v>
      </c>
      <c r="AE7" s="118">
        <f t="shared" si="10"/>
        <v>513.03316819719669</v>
      </c>
      <c r="AF7" s="80">
        <f t="shared" si="11"/>
        <v>0.92354704797047971</v>
      </c>
      <c r="AG7" s="118">
        <f t="shared" si="12"/>
        <v>530.13640903983026</v>
      </c>
    </row>
    <row r="8" spans="2:33" s="85" customFormat="1" ht="18" customHeight="1">
      <c r="B8" s="196"/>
      <c r="C8" s="82" t="s">
        <v>16</v>
      </c>
      <c r="D8" s="83">
        <f t="shared" ref="D8:W8" si="13">SUM(D5:D7)</f>
        <v>9716</v>
      </c>
      <c r="E8" s="83">
        <f t="shared" si="13"/>
        <v>9330</v>
      </c>
      <c r="F8" s="83">
        <f t="shared" si="13"/>
        <v>8100</v>
      </c>
      <c r="G8" s="83">
        <f t="shared" si="13"/>
        <v>9800</v>
      </c>
      <c r="H8" s="83">
        <f>SUM(H5:H7)</f>
        <v>36946</v>
      </c>
      <c r="I8" s="83">
        <f t="shared" si="13"/>
        <v>10172</v>
      </c>
      <c r="J8" s="83">
        <f t="shared" si="13"/>
        <v>1</v>
      </c>
      <c r="K8" s="83">
        <f t="shared" si="13"/>
        <v>9371</v>
      </c>
      <c r="L8" s="83">
        <f t="shared" si="13"/>
        <v>3</v>
      </c>
      <c r="M8" s="83">
        <f t="shared" si="13"/>
        <v>7140</v>
      </c>
      <c r="N8" s="83">
        <f t="shared" si="13"/>
        <v>6</v>
      </c>
      <c r="O8" s="83">
        <f t="shared" si="13"/>
        <v>9081</v>
      </c>
      <c r="P8" s="83">
        <f t="shared" si="13"/>
        <v>304</v>
      </c>
      <c r="Q8" s="83">
        <f t="shared" si="13"/>
        <v>35764</v>
      </c>
      <c r="R8" s="83">
        <f t="shared" si="13"/>
        <v>314</v>
      </c>
      <c r="S8" s="83">
        <f t="shared" si="13"/>
        <v>26484</v>
      </c>
      <c r="T8" s="83">
        <f t="shared" si="13"/>
        <v>26439</v>
      </c>
      <c r="U8" s="83">
        <f t="shared" si="13"/>
        <v>27385</v>
      </c>
      <c r="V8" s="83">
        <f t="shared" si="13"/>
        <v>27799</v>
      </c>
      <c r="W8" s="122">
        <f t="shared" si="13"/>
        <v>27799</v>
      </c>
      <c r="X8" s="132">
        <f t="shared" si="4"/>
        <v>1.0469328941951421</v>
      </c>
      <c r="Y8" s="119">
        <f>IFERROR((S8/I8)*91.25,0)</f>
        <v>237.58012190326389</v>
      </c>
      <c r="Z8" s="84">
        <f t="shared" si="0"/>
        <v>1.0043944265809217</v>
      </c>
      <c r="AA8" s="119">
        <f t="shared" si="6"/>
        <v>257.44944509657455</v>
      </c>
      <c r="AB8" s="84">
        <f t="shared" si="7"/>
        <v>0.88148148148148153</v>
      </c>
      <c r="AC8" s="119">
        <f t="shared" si="8"/>
        <v>349.98336834733897</v>
      </c>
      <c r="AD8" s="84">
        <f t="shared" si="9"/>
        <v>0.92663265306122444</v>
      </c>
      <c r="AE8" s="119">
        <f t="shared" si="10"/>
        <v>279.33693976434313</v>
      </c>
      <c r="AF8" s="84">
        <f t="shared" si="11"/>
        <v>0.968007362096032</v>
      </c>
      <c r="AG8" s="119">
        <f t="shared" si="12"/>
        <v>283.71085449054914</v>
      </c>
    </row>
    <row r="9" spans="2:33" s="81" customFormat="1" ht="18" customHeight="1">
      <c r="B9" s="196"/>
      <c r="C9" s="86" t="s">
        <v>17</v>
      </c>
      <c r="D9" s="109">
        <v>26953</v>
      </c>
      <c r="E9" s="109">
        <v>26441</v>
      </c>
      <c r="F9" s="109">
        <v>20809</v>
      </c>
      <c r="G9" s="109">
        <v>24462</v>
      </c>
      <c r="H9" s="109">
        <f t="shared" si="1"/>
        <v>98665</v>
      </c>
      <c r="I9" s="106">
        <v>35567</v>
      </c>
      <c r="J9" s="106">
        <v>2</v>
      </c>
      <c r="K9" s="106">
        <v>33236</v>
      </c>
      <c r="L9" s="106"/>
      <c r="M9" s="106">
        <v>21014</v>
      </c>
      <c r="N9" s="106">
        <v>1</v>
      </c>
      <c r="O9" s="106">
        <v>28441</v>
      </c>
      <c r="P9" s="106">
        <v>2</v>
      </c>
      <c r="Q9" s="106">
        <f t="shared" ref="Q9:Q15" si="14">I9+K9+M9+O9</f>
        <v>118258</v>
      </c>
      <c r="R9" s="106">
        <f t="shared" ref="R9:R15" si="15">J9+L9+N9+P9</f>
        <v>5</v>
      </c>
      <c r="S9" s="105">
        <v>135726</v>
      </c>
      <c r="T9" s="105">
        <v>128914</v>
      </c>
      <c r="U9" s="105">
        <v>128730</v>
      </c>
      <c r="V9" s="105">
        <v>124746</v>
      </c>
      <c r="W9" s="105">
        <v>124746</v>
      </c>
      <c r="X9" s="131">
        <f t="shared" si="4"/>
        <v>1.3195933662301043</v>
      </c>
      <c r="Y9" s="118">
        <f t="shared" si="5"/>
        <v>348.21597267129641</v>
      </c>
      <c r="Z9" s="80">
        <f t="shared" si="0"/>
        <v>1.2569872546424115</v>
      </c>
      <c r="AA9" s="118">
        <f t="shared" si="6"/>
        <v>353.93556685521725</v>
      </c>
      <c r="AB9" s="80">
        <f t="shared" si="7"/>
        <v>1.0098515065596616</v>
      </c>
      <c r="AC9" s="118">
        <f t="shared" si="8"/>
        <v>558.98984010659558</v>
      </c>
      <c r="AD9" s="80">
        <f t="shared" si="9"/>
        <v>1.1626604529474287</v>
      </c>
      <c r="AE9" s="118">
        <f t="shared" si="10"/>
        <v>400.23460848774653</v>
      </c>
      <c r="AF9" s="80">
        <f t="shared" si="11"/>
        <v>1.1985810571124513</v>
      </c>
      <c r="AG9" s="118">
        <f t="shared" si="12"/>
        <v>385.02503001911077</v>
      </c>
    </row>
    <row r="10" spans="2:33" s="81" customFormat="1" ht="18" customHeight="1">
      <c r="B10" s="196"/>
      <c r="C10" s="86" t="s">
        <v>18</v>
      </c>
      <c r="D10" s="109">
        <v>26304</v>
      </c>
      <c r="E10" s="109">
        <v>37956</v>
      </c>
      <c r="F10" s="109">
        <v>34903</v>
      </c>
      <c r="G10" s="109">
        <v>31283</v>
      </c>
      <c r="H10" s="109">
        <f t="shared" si="1"/>
        <v>130446</v>
      </c>
      <c r="I10" s="106">
        <v>33074</v>
      </c>
      <c r="J10" s="106">
        <v>9</v>
      </c>
      <c r="K10" s="106">
        <v>32024</v>
      </c>
      <c r="L10" s="106">
        <v>6</v>
      </c>
      <c r="M10" s="106">
        <v>33957</v>
      </c>
      <c r="N10" s="106">
        <v>6</v>
      </c>
      <c r="O10" s="106">
        <v>35138</v>
      </c>
      <c r="P10" s="106">
        <v>3</v>
      </c>
      <c r="Q10" s="106">
        <f>I10+K10+M10+O10</f>
        <v>134193</v>
      </c>
      <c r="R10" s="106">
        <f t="shared" si="15"/>
        <v>24</v>
      </c>
      <c r="S10" s="105">
        <v>71469</v>
      </c>
      <c r="T10" s="105">
        <v>77462</v>
      </c>
      <c r="U10" s="105">
        <v>78285</v>
      </c>
      <c r="V10" s="105">
        <v>74600</v>
      </c>
      <c r="W10" s="105">
        <v>74600</v>
      </c>
      <c r="X10" s="131">
        <f t="shared" si="4"/>
        <v>1.257375304136253</v>
      </c>
      <c r="Y10" s="118">
        <f t="shared" si="5"/>
        <v>197.18045141198525</v>
      </c>
      <c r="Z10" s="80">
        <f t="shared" si="0"/>
        <v>0.84371377384339763</v>
      </c>
      <c r="AA10" s="118">
        <f t="shared" si="6"/>
        <v>220.72219273045215</v>
      </c>
      <c r="AB10" s="80">
        <f t="shared" si="7"/>
        <v>0.97289631263788212</v>
      </c>
      <c r="AC10" s="118">
        <f t="shared" si="8"/>
        <v>210.36918013958828</v>
      </c>
      <c r="AD10" s="80">
        <f t="shared" si="9"/>
        <v>1.1232298692580636</v>
      </c>
      <c r="AE10" s="118">
        <f t="shared" si="10"/>
        <v>193.72901132676876</v>
      </c>
      <c r="AF10" s="80">
        <f t="shared" si="11"/>
        <v>1.0287245296904466</v>
      </c>
      <c r="AG10" s="118">
        <f t="shared" si="12"/>
        <v>202.90924265796278</v>
      </c>
    </row>
    <row r="11" spans="2:33" s="81" customFormat="1" ht="18" customHeight="1">
      <c r="B11" s="196"/>
      <c r="C11" s="153" t="s">
        <v>170</v>
      </c>
      <c r="D11" s="109"/>
      <c r="E11" s="109">
        <v>80</v>
      </c>
      <c r="F11" s="109">
        <v>130</v>
      </c>
      <c r="G11" s="109">
        <v>111</v>
      </c>
      <c r="H11" s="109">
        <f t="shared" si="1"/>
        <v>321</v>
      </c>
      <c r="I11" s="106"/>
      <c r="J11" s="106"/>
      <c r="K11" s="106">
        <v>10</v>
      </c>
      <c r="L11" s="106"/>
      <c r="M11" s="106">
        <v>20</v>
      </c>
      <c r="N11" s="106"/>
      <c r="O11" s="106">
        <v>23</v>
      </c>
      <c r="P11" s="106"/>
      <c r="Q11" s="106">
        <f t="shared" si="14"/>
        <v>53</v>
      </c>
      <c r="R11" s="106">
        <f t="shared" si="15"/>
        <v>0</v>
      </c>
      <c r="S11" s="105"/>
      <c r="T11" s="105">
        <v>70</v>
      </c>
      <c r="U11" s="105">
        <v>180</v>
      </c>
      <c r="V11" s="105">
        <v>268</v>
      </c>
      <c r="W11" s="105">
        <v>268</v>
      </c>
      <c r="X11" s="131"/>
      <c r="Y11" s="118"/>
      <c r="Z11" s="80">
        <f t="shared" si="0"/>
        <v>0.125</v>
      </c>
      <c r="AA11" s="118">
        <f t="shared" si="6"/>
        <v>638.75</v>
      </c>
      <c r="AB11" s="80">
        <f t="shared" si="7"/>
        <v>0.15384615384615385</v>
      </c>
      <c r="AC11" s="118">
        <f t="shared" si="8"/>
        <v>821.25</v>
      </c>
      <c r="AD11" s="80">
        <f t="shared" si="9"/>
        <v>0.2072072072072072</v>
      </c>
      <c r="AE11" s="118">
        <f t="shared" si="10"/>
        <v>1063.2608695652175</v>
      </c>
      <c r="AF11" s="80"/>
      <c r="AG11" s="118"/>
    </row>
    <row r="12" spans="2:33" s="81" customFormat="1" ht="18" customHeight="1">
      <c r="B12" s="196"/>
      <c r="C12" s="86" t="s">
        <v>19</v>
      </c>
      <c r="D12" s="109">
        <v>4186</v>
      </c>
      <c r="E12" s="109">
        <v>4681</v>
      </c>
      <c r="F12" s="109">
        <v>4299</v>
      </c>
      <c r="G12" s="109">
        <v>4753</v>
      </c>
      <c r="H12" s="109">
        <f t="shared" si="1"/>
        <v>17919</v>
      </c>
      <c r="I12" s="106">
        <v>3872</v>
      </c>
      <c r="J12" s="106">
        <v>0</v>
      </c>
      <c r="K12" s="106">
        <v>4266</v>
      </c>
      <c r="L12" s="106"/>
      <c r="M12" s="106">
        <v>3569</v>
      </c>
      <c r="N12" s="106">
        <v>1</v>
      </c>
      <c r="O12" s="106">
        <v>4318</v>
      </c>
      <c r="P12" s="106"/>
      <c r="Q12" s="106">
        <f t="shared" si="14"/>
        <v>16025</v>
      </c>
      <c r="R12" s="106">
        <f t="shared" si="15"/>
        <v>1</v>
      </c>
      <c r="S12" s="105">
        <v>8733</v>
      </c>
      <c r="T12" s="105">
        <v>9170</v>
      </c>
      <c r="U12" s="105">
        <v>9927</v>
      </c>
      <c r="V12" s="105">
        <v>10392</v>
      </c>
      <c r="W12" s="105">
        <v>10392</v>
      </c>
      <c r="X12" s="131">
        <f t="shared" si="4"/>
        <v>0.92498805542283802</v>
      </c>
      <c r="Y12" s="118">
        <f t="shared" si="5"/>
        <v>205.80739927685951</v>
      </c>
      <c r="Z12" s="80">
        <f t="shared" si="0"/>
        <v>0.91134372997222812</v>
      </c>
      <c r="AA12" s="118">
        <f t="shared" si="6"/>
        <v>196.14685888420064</v>
      </c>
      <c r="AB12" s="80">
        <f t="shared" si="7"/>
        <v>0.83019306815538496</v>
      </c>
      <c r="AC12" s="118">
        <f t="shared" si="8"/>
        <v>253.80743905855982</v>
      </c>
      <c r="AD12" s="80">
        <f t="shared" si="9"/>
        <v>0.90847885545970963</v>
      </c>
      <c r="AE12" s="118">
        <f t="shared" si="10"/>
        <v>219.60861509958312</v>
      </c>
      <c r="AF12" s="80">
        <f t="shared" si="11"/>
        <v>0.89430213739606002</v>
      </c>
      <c r="AG12" s="118">
        <f t="shared" si="12"/>
        <v>236.69765990639627</v>
      </c>
    </row>
    <row r="13" spans="2:33" s="81" customFormat="1" ht="18" customHeight="1">
      <c r="B13" s="196"/>
      <c r="C13" s="86" t="s">
        <v>20</v>
      </c>
      <c r="D13" s="109">
        <v>2372</v>
      </c>
      <c r="E13" s="109">
        <v>2524</v>
      </c>
      <c r="F13" s="109">
        <v>1888</v>
      </c>
      <c r="G13" s="109">
        <v>2237</v>
      </c>
      <c r="H13" s="109">
        <f t="shared" si="1"/>
        <v>9021</v>
      </c>
      <c r="I13" s="106">
        <v>2323</v>
      </c>
      <c r="J13" s="106">
        <v>0</v>
      </c>
      <c r="K13" s="106">
        <v>2395</v>
      </c>
      <c r="L13" s="106"/>
      <c r="M13" s="106">
        <v>1796</v>
      </c>
      <c r="N13" s="106"/>
      <c r="O13" s="106">
        <v>2088</v>
      </c>
      <c r="P13" s="106">
        <v>1</v>
      </c>
      <c r="Q13" s="106">
        <f t="shared" si="14"/>
        <v>8602</v>
      </c>
      <c r="R13" s="106">
        <f t="shared" si="15"/>
        <v>1</v>
      </c>
      <c r="S13" s="105">
        <v>6176</v>
      </c>
      <c r="T13" s="105">
        <v>6362</v>
      </c>
      <c r="U13" s="105">
        <v>6490</v>
      </c>
      <c r="V13" s="105">
        <v>6656</v>
      </c>
      <c r="W13" s="105">
        <v>6656</v>
      </c>
      <c r="X13" s="131">
        <f t="shared" si="4"/>
        <v>0.97934232715008429</v>
      </c>
      <c r="Y13" s="118">
        <f t="shared" si="5"/>
        <v>242.6000860955661</v>
      </c>
      <c r="Z13" s="80">
        <f t="shared" si="0"/>
        <v>0.9488906497622821</v>
      </c>
      <c r="AA13" s="118">
        <f t="shared" si="6"/>
        <v>242.39352818371609</v>
      </c>
      <c r="AB13" s="80">
        <f t="shared" si="7"/>
        <v>0.95127118644067798</v>
      </c>
      <c r="AC13" s="118">
        <f t="shared" si="8"/>
        <v>329.73969933184856</v>
      </c>
      <c r="AD13" s="80">
        <f t="shared" si="9"/>
        <v>0.93339293696915515</v>
      </c>
      <c r="AE13" s="118">
        <f t="shared" si="10"/>
        <v>290.88122605363981</v>
      </c>
      <c r="AF13" s="80">
        <f t="shared" si="11"/>
        <v>0.95355282119498952</v>
      </c>
      <c r="AG13" s="118">
        <f t="shared" si="12"/>
        <v>282.42734247849336</v>
      </c>
    </row>
    <row r="14" spans="2:33" s="81" customFormat="1" ht="18" customHeight="1">
      <c r="B14" s="196"/>
      <c r="C14" s="86" t="s">
        <v>21</v>
      </c>
      <c r="D14" s="109">
        <v>5633</v>
      </c>
      <c r="E14" s="109">
        <v>5189</v>
      </c>
      <c r="F14" s="109">
        <v>4638</v>
      </c>
      <c r="G14" s="109">
        <v>5299</v>
      </c>
      <c r="H14" s="109">
        <f t="shared" si="1"/>
        <v>20759</v>
      </c>
      <c r="I14" s="106">
        <v>5663</v>
      </c>
      <c r="J14" s="106">
        <v>0</v>
      </c>
      <c r="K14" s="106">
        <v>5413</v>
      </c>
      <c r="L14" s="106"/>
      <c r="M14" s="106">
        <v>4470</v>
      </c>
      <c r="N14" s="106"/>
      <c r="O14" s="106">
        <v>5330</v>
      </c>
      <c r="P14" s="106"/>
      <c r="Q14" s="106">
        <f t="shared" si="14"/>
        <v>20876</v>
      </c>
      <c r="R14" s="106">
        <f t="shared" si="15"/>
        <v>0</v>
      </c>
      <c r="S14" s="105">
        <v>2833</v>
      </c>
      <c r="T14" s="105">
        <v>2622</v>
      </c>
      <c r="U14" s="105">
        <v>2791</v>
      </c>
      <c r="V14" s="105">
        <v>2743</v>
      </c>
      <c r="W14" s="105">
        <v>2743</v>
      </c>
      <c r="X14" s="131">
        <f t="shared" si="4"/>
        <v>1.0053257589206461</v>
      </c>
      <c r="Y14" s="118">
        <f t="shared" si="5"/>
        <v>45.649170051209609</v>
      </c>
      <c r="Z14" s="80">
        <f t="shared" si="0"/>
        <v>1.0431682405087686</v>
      </c>
      <c r="AA14" s="118">
        <f t="shared" si="6"/>
        <v>44.200535747275076</v>
      </c>
      <c r="AB14" s="80">
        <f t="shared" si="7"/>
        <v>0.96377749029754201</v>
      </c>
      <c r="AC14" s="118">
        <f t="shared" si="8"/>
        <v>56.975111856823261</v>
      </c>
      <c r="AD14" s="80">
        <f t="shared" si="9"/>
        <v>1.005850160407624</v>
      </c>
      <c r="AE14" s="118">
        <f t="shared" si="10"/>
        <v>46.960365853658537</v>
      </c>
      <c r="AF14" s="80">
        <f t="shared" si="11"/>
        <v>1.0056361096391926</v>
      </c>
      <c r="AG14" s="118">
        <f t="shared" si="12"/>
        <v>47.959139681931411</v>
      </c>
    </row>
    <row r="15" spans="2:33" s="81" customFormat="1" ht="18" customHeight="1">
      <c r="B15" s="196"/>
      <c r="C15" s="86" t="s">
        <v>22</v>
      </c>
      <c r="D15" s="109">
        <v>131</v>
      </c>
      <c r="E15" s="109">
        <v>130</v>
      </c>
      <c r="F15" s="109">
        <v>90</v>
      </c>
      <c r="G15" s="109">
        <v>103</v>
      </c>
      <c r="H15" s="109">
        <f t="shared" si="1"/>
        <v>454</v>
      </c>
      <c r="I15" s="106">
        <v>116</v>
      </c>
      <c r="J15" s="106">
        <v>0</v>
      </c>
      <c r="K15" s="106">
        <v>127</v>
      </c>
      <c r="L15" s="106"/>
      <c r="M15" s="106">
        <v>71</v>
      </c>
      <c r="N15" s="106"/>
      <c r="O15" s="106">
        <v>157</v>
      </c>
      <c r="P15" s="106"/>
      <c r="Q15" s="106">
        <f t="shared" si="14"/>
        <v>471</v>
      </c>
      <c r="R15" s="106">
        <f t="shared" si="15"/>
        <v>0</v>
      </c>
      <c r="S15" s="105">
        <v>176</v>
      </c>
      <c r="T15" s="105">
        <v>179</v>
      </c>
      <c r="U15" s="105">
        <v>198</v>
      </c>
      <c r="V15" s="105">
        <v>144</v>
      </c>
      <c r="W15" s="105">
        <v>144</v>
      </c>
      <c r="X15" s="131">
        <f t="shared" si="4"/>
        <v>0.8854961832061069</v>
      </c>
      <c r="Y15" s="118">
        <f t="shared" si="5"/>
        <v>138.44827586206895</v>
      </c>
      <c r="Z15" s="80">
        <f t="shared" si="0"/>
        <v>0.97692307692307689</v>
      </c>
      <c r="AA15" s="118">
        <f t="shared" si="6"/>
        <v>128.61220472440945</v>
      </c>
      <c r="AB15" s="80">
        <f t="shared" si="7"/>
        <v>0.78888888888888886</v>
      </c>
      <c r="AC15" s="118">
        <f t="shared" si="8"/>
        <v>254.47183098591549</v>
      </c>
      <c r="AD15" s="80">
        <f t="shared" si="9"/>
        <v>1.5242718446601942</v>
      </c>
      <c r="AE15" s="118">
        <f t="shared" si="10"/>
        <v>83.69426751592357</v>
      </c>
      <c r="AF15" s="80">
        <f t="shared" si="11"/>
        <v>1.0374449339207048</v>
      </c>
      <c r="AG15" s="118">
        <f t="shared" si="12"/>
        <v>111.59235668789809</v>
      </c>
    </row>
    <row r="16" spans="2:33" s="81" customFormat="1" ht="18" customHeight="1">
      <c r="B16" s="196"/>
      <c r="C16" s="86" t="s">
        <v>23</v>
      </c>
      <c r="D16" s="109">
        <v>128654</v>
      </c>
      <c r="E16" s="109">
        <v>123754</v>
      </c>
      <c r="F16" s="109">
        <v>114550</v>
      </c>
      <c r="G16" s="109">
        <v>123133</v>
      </c>
      <c r="H16" s="109">
        <f>SUM(D16:G16)</f>
        <v>490091</v>
      </c>
      <c r="I16" s="106">
        <v>127123</v>
      </c>
      <c r="J16" s="106">
        <v>0</v>
      </c>
      <c r="K16" s="106">
        <v>115527</v>
      </c>
      <c r="L16" s="106"/>
      <c r="M16" s="106">
        <v>107354</v>
      </c>
      <c r="N16" s="106"/>
      <c r="O16" s="106">
        <v>129163</v>
      </c>
      <c r="P16" s="106"/>
      <c r="Q16" s="106">
        <f>I16+K16+M16+O16</f>
        <v>479167</v>
      </c>
      <c r="R16" s="106">
        <f>J16+L16+N16+P16</f>
        <v>0</v>
      </c>
      <c r="S16" s="105">
        <v>33045</v>
      </c>
      <c r="T16" s="105">
        <v>37557</v>
      </c>
      <c r="U16" s="105">
        <v>47999</v>
      </c>
      <c r="V16" s="105">
        <v>42009</v>
      </c>
      <c r="W16" s="105">
        <v>42009</v>
      </c>
      <c r="X16" s="131">
        <f t="shared" si="4"/>
        <v>0.98809986475352496</v>
      </c>
      <c r="Y16" s="118">
        <f t="shared" si="5"/>
        <v>23.719989695019784</v>
      </c>
      <c r="Z16" s="80">
        <f t="shared" si="0"/>
        <v>0.93352134072434023</v>
      </c>
      <c r="AA16" s="118">
        <f t="shared" si="6"/>
        <v>29.664721233997245</v>
      </c>
      <c r="AB16" s="80">
        <f t="shared" si="7"/>
        <v>0.93718027062418163</v>
      </c>
      <c r="AC16" s="118">
        <f t="shared" si="8"/>
        <v>40.798747601393522</v>
      </c>
      <c r="AD16" s="80">
        <f t="shared" si="9"/>
        <v>1.0489714373888397</v>
      </c>
      <c r="AE16" s="118">
        <f t="shared" si="10"/>
        <v>29.678168283486755</v>
      </c>
      <c r="AF16" s="80">
        <f t="shared" si="11"/>
        <v>0.97771026197175626</v>
      </c>
      <c r="AG16" s="118">
        <f t="shared" si="12"/>
        <v>31.999876869650873</v>
      </c>
    </row>
    <row r="17" spans="2:33" s="85" customFormat="1" ht="24.95" customHeight="1">
      <c r="B17" s="196"/>
      <c r="C17" s="88" t="s">
        <v>24</v>
      </c>
      <c r="D17" s="89">
        <f t="shared" ref="D17:W17" si="16">SUM(D8:D16)</f>
        <v>203949</v>
      </c>
      <c r="E17" s="89">
        <f t="shared" si="16"/>
        <v>210085</v>
      </c>
      <c r="F17" s="89">
        <f t="shared" si="16"/>
        <v>189407</v>
      </c>
      <c r="G17" s="89">
        <f t="shared" si="16"/>
        <v>201181</v>
      </c>
      <c r="H17" s="89">
        <f t="shared" si="16"/>
        <v>804622</v>
      </c>
      <c r="I17" s="89">
        <f t="shared" si="16"/>
        <v>217910</v>
      </c>
      <c r="J17" s="89">
        <f t="shared" si="16"/>
        <v>12</v>
      </c>
      <c r="K17" s="89">
        <f t="shared" si="16"/>
        <v>202369</v>
      </c>
      <c r="L17" s="89">
        <f t="shared" si="16"/>
        <v>9</v>
      </c>
      <c r="M17" s="89">
        <f t="shared" si="16"/>
        <v>179391</v>
      </c>
      <c r="N17" s="89">
        <f t="shared" si="16"/>
        <v>14</v>
      </c>
      <c r="O17" s="89">
        <f t="shared" si="16"/>
        <v>213739</v>
      </c>
      <c r="P17" s="89">
        <f t="shared" si="16"/>
        <v>310</v>
      </c>
      <c r="Q17" s="89">
        <f>SUM(Q8:Q16)</f>
        <v>813409</v>
      </c>
      <c r="R17" s="89">
        <f t="shared" si="16"/>
        <v>345</v>
      </c>
      <c r="S17" s="89">
        <f t="shared" si="16"/>
        <v>284642</v>
      </c>
      <c r="T17" s="89">
        <f t="shared" si="16"/>
        <v>288775</v>
      </c>
      <c r="U17" s="89">
        <f t="shared" si="16"/>
        <v>301985</v>
      </c>
      <c r="V17" s="89">
        <f t="shared" si="16"/>
        <v>289357</v>
      </c>
      <c r="W17" s="124">
        <f t="shared" si="16"/>
        <v>289357</v>
      </c>
      <c r="X17" s="133">
        <f t="shared" si="4"/>
        <v>1.0684533878567681</v>
      </c>
      <c r="Y17" s="120">
        <f t="shared" si="5"/>
        <v>119.19408241934744</v>
      </c>
      <c r="Z17" s="90">
        <f t="shared" si="0"/>
        <v>0.96327200894875886</v>
      </c>
      <c r="AA17" s="120">
        <f t="shared" si="6"/>
        <v>130.21124159332703</v>
      </c>
      <c r="AB17" s="90">
        <f t="shared" si="7"/>
        <v>0.94711916666226692</v>
      </c>
      <c r="AC17" s="120">
        <f t="shared" si="8"/>
        <v>153.60932962077251</v>
      </c>
      <c r="AD17" s="90">
        <f t="shared" si="9"/>
        <v>1.0624214016234137</v>
      </c>
      <c r="AE17" s="120">
        <f t="shared" si="10"/>
        <v>123.53302976995307</v>
      </c>
      <c r="AF17" s="90">
        <f t="shared" si="11"/>
        <v>1.0109206559104773</v>
      </c>
      <c r="AG17" s="120">
        <f t="shared" si="12"/>
        <v>129.84280355884923</v>
      </c>
    </row>
    <row r="18" spans="2:33" s="81" customFormat="1" ht="18" customHeight="1">
      <c r="B18" s="197" t="s">
        <v>25</v>
      </c>
      <c r="C18" s="86" t="s">
        <v>15</v>
      </c>
      <c r="D18" s="109">
        <v>150</v>
      </c>
      <c r="E18" s="109">
        <v>148</v>
      </c>
      <c r="F18" s="109">
        <v>102</v>
      </c>
      <c r="G18" s="109">
        <v>126</v>
      </c>
      <c r="H18" s="109">
        <f t="shared" ref="H18:H19" si="17">SUM(D18:G18)</f>
        <v>526</v>
      </c>
      <c r="I18" s="106">
        <v>140</v>
      </c>
      <c r="J18" s="106"/>
      <c r="K18" s="106">
        <v>160</v>
      </c>
      <c r="L18" s="106"/>
      <c r="M18" s="106">
        <v>87</v>
      </c>
      <c r="N18" s="106"/>
      <c r="O18" s="106">
        <v>150</v>
      </c>
      <c r="P18" s="106"/>
      <c r="Q18" s="106">
        <f t="shared" ref="Q18:Q19" si="18">I18+K18+M18+O18</f>
        <v>537</v>
      </c>
      <c r="R18" s="106">
        <f t="shared" ref="R18:R19" si="19">J18+L18+N18+P18</f>
        <v>0</v>
      </c>
      <c r="S18" s="105">
        <v>698</v>
      </c>
      <c r="T18" s="105">
        <v>686</v>
      </c>
      <c r="U18" s="105">
        <v>701</v>
      </c>
      <c r="V18" s="110">
        <v>677</v>
      </c>
      <c r="W18" s="110">
        <v>677</v>
      </c>
      <c r="X18" s="131">
        <f t="shared" si="4"/>
        <v>0.93333333333333335</v>
      </c>
      <c r="Y18" s="118">
        <f t="shared" si="5"/>
        <v>454.94642857142856</v>
      </c>
      <c r="Z18" s="80">
        <f t="shared" si="0"/>
        <v>1.0810810810810811</v>
      </c>
      <c r="AA18" s="118">
        <f t="shared" si="6"/>
        <v>391.23437499999994</v>
      </c>
      <c r="AB18" s="80">
        <f t="shared" si="7"/>
        <v>0.8529411764705882</v>
      </c>
      <c r="AC18" s="118">
        <f t="shared" si="8"/>
        <v>735.24425287356325</v>
      </c>
      <c r="AD18" s="80">
        <f t="shared" si="9"/>
        <v>1.1904761904761905</v>
      </c>
      <c r="AE18" s="118">
        <f t="shared" si="10"/>
        <v>411.8416666666667</v>
      </c>
      <c r="AF18" s="80">
        <f t="shared" si="11"/>
        <v>1.020912547528517</v>
      </c>
      <c r="AG18" s="118">
        <f t="shared" si="12"/>
        <v>460.15828677839852</v>
      </c>
    </row>
    <row r="19" spans="2:33" s="81" customFormat="1" ht="18" customHeight="1">
      <c r="B19" s="197"/>
      <c r="C19" s="86" t="s">
        <v>26</v>
      </c>
      <c r="D19" s="109">
        <v>1971</v>
      </c>
      <c r="E19" s="109">
        <v>2053</v>
      </c>
      <c r="F19" s="109">
        <v>1704</v>
      </c>
      <c r="G19" s="109">
        <v>2235</v>
      </c>
      <c r="H19" s="109">
        <f t="shared" si="17"/>
        <v>7963</v>
      </c>
      <c r="I19" s="106">
        <v>1949</v>
      </c>
      <c r="J19" s="106"/>
      <c r="K19" s="106">
        <v>1761</v>
      </c>
      <c r="L19" s="106"/>
      <c r="M19" s="106">
        <v>1496</v>
      </c>
      <c r="N19" s="106"/>
      <c r="O19" s="106">
        <v>2038</v>
      </c>
      <c r="P19" s="106">
        <v>367</v>
      </c>
      <c r="Q19" s="106">
        <f t="shared" si="18"/>
        <v>7244</v>
      </c>
      <c r="R19" s="106">
        <f t="shared" si="19"/>
        <v>367</v>
      </c>
      <c r="S19" s="105">
        <v>1687</v>
      </c>
      <c r="T19" s="105">
        <v>1986</v>
      </c>
      <c r="U19" s="105">
        <v>2194</v>
      </c>
      <c r="V19" s="105">
        <v>2024</v>
      </c>
      <c r="W19" s="105">
        <v>2024</v>
      </c>
      <c r="X19" s="131">
        <f t="shared" si="4"/>
        <v>0.98883815322171487</v>
      </c>
      <c r="Y19" s="118">
        <f t="shared" si="5"/>
        <v>78.983453052847608</v>
      </c>
      <c r="Z19" s="80">
        <f t="shared" si="0"/>
        <v>0.85776911836337066</v>
      </c>
      <c r="AA19" s="118">
        <f t="shared" si="6"/>
        <v>102.90885860306643</v>
      </c>
      <c r="AB19" s="80">
        <f t="shared" si="7"/>
        <v>0.8779342723004695</v>
      </c>
      <c r="AC19" s="118">
        <f t="shared" si="8"/>
        <v>133.82520053475935</v>
      </c>
      <c r="AD19" s="80">
        <f t="shared" si="9"/>
        <v>0.9118568232662192</v>
      </c>
      <c r="AE19" s="118">
        <f t="shared" si="10"/>
        <v>90.623159960745824</v>
      </c>
      <c r="AF19" s="80">
        <f t="shared" si="11"/>
        <v>0.90970739670978273</v>
      </c>
      <c r="AG19" s="118">
        <f t="shared" si="12"/>
        <v>101.98233020430702</v>
      </c>
    </row>
    <row r="20" spans="2:33" s="85" customFormat="1" ht="18" customHeight="1">
      <c r="B20" s="197"/>
      <c r="C20" s="82" t="s">
        <v>16</v>
      </c>
      <c r="D20" s="91">
        <f t="shared" ref="D20:W20" si="20">SUM(D18:D19)</f>
        <v>2121</v>
      </c>
      <c r="E20" s="91">
        <f t="shared" si="20"/>
        <v>2201</v>
      </c>
      <c r="F20" s="91">
        <f t="shared" si="20"/>
        <v>1806</v>
      </c>
      <c r="G20" s="91">
        <f t="shared" si="20"/>
        <v>2361</v>
      </c>
      <c r="H20" s="91">
        <f t="shared" si="20"/>
        <v>8489</v>
      </c>
      <c r="I20" s="91">
        <f t="shared" si="20"/>
        <v>2089</v>
      </c>
      <c r="J20" s="91">
        <f t="shared" si="20"/>
        <v>0</v>
      </c>
      <c r="K20" s="91">
        <f t="shared" si="20"/>
        <v>1921</v>
      </c>
      <c r="L20" s="91">
        <f t="shared" si="20"/>
        <v>0</v>
      </c>
      <c r="M20" s="91">
        <f t="shared" si="20"/>
        <v>1583</v>
      </c>
      <c r="N20" s="91">
        <f t="shared" si="20"/>
        <v>0</v>
      </c>
      <c r="O20" s="91">
        <f t="shared" si="20"/>
        <v>2188</v>
      </c>
      <c r="P20" s="91">
        <f t="shared" si="20"/>
        <v>367</v>
      </c>
      <c r="Q20" s="91">
        <f t="shared" si="20"/>
        <v>7781</v>
      </c>
      <c r="R20" s="91">
        <f t="shared" si="20"/>
        <v>367</v>
      </c>
      <c r="S20" s="91">
        <f t="shared" si="20"/>
        <v>2385</v>
      </c>
      <c r="T20" s="91">
        <f t="shared" si="20"/>
        <v>2672</v>
      </c>
      <c r="U20" s="91">
        <f t="shared" si="20"/>
        <v>2895</v>
      </c>
      <c r="V20" s="91">
        <f t="shared" si="20"/>
        <v>2701</v>
      </c>
      <c r="W20" s="125">
        <f t="shared" si="20"/>
        <v>2701</v>
      </c>
      <c r="X20" s="132">
        <f t="shared" si="4"/>
        <v>0.98491277699198487</v>
      </c>
      <c r="Y20" s="119">
        <f t="shared" si="5"/>
        <v>104.17963140258496</v>
      </c>
      <c r="Z20" s="84">
        <f t="shared" si="0"/>
        <v>0.87278509768287138</v>
      </c>
      <c r="AA20" s="119">
        <f t="shared" si="6"/>
        <v>126.92347735554398</v>
      </c>
      <c r="AB20" s="84">
        <f t="shared" si="7"/>
        <v>0.87652270210409744</v>
      </c>
      <c r="AC20" s="119">
        <f t="shared" si="8"/>
        <v>166.87855337965888</v>
      </c>
      <c r="AD20" s="84">
        <f t="shared" si="9"/>
        <v>0.92672596357475645</v>
      </c>
      <c r="AE20" s="119">
        <f t="shared" si="10"/>
        <v>112.64453839122487</v>
      </c>
      <c r="AF20" s="84">
        <f t="shared" si="11"/>
        <v>0.9165979502886088</v>
      </c>
      <c r="AG20" s="119">
        <f t="shared" si="12"/>
        <v>126.70158077367948</v>
      </c>
    </row>
    <row r="21" spans="2:33" s="81" customFormat="1" ht="18" customHeight="1">
      <c r="B21" s="197"/>
      <c r="C21" s="86" t="s">
        <v>27</v>
      </c>
      <c r="D21" s="109">
        <v>1480</v>
      </c>
      <c r="E21" s="109">
        <v>1414</v>
      </c>
      <c r="F21" s="109">
        <v>1535</v>
      </c>
      <c r="G21" s="109">
        <v>1616</v>
      </c>
      <c r="H21" s="109">
        <f t="shared" ref="H21:H29" si="21">SUM(D21:G21)</f>
        <v>6045</v>
      </c>
      <c r="I21" s="106">
        <v>1325</v>
      </c>
      <c r="J21" s="106"/>
      <c r="K21" s="106">
        <v>1412</v>
      </c>
      <c r="L21" s="106"/>
      <c r="M21" s="106">
        <v>1499</v>
      </c>
      <c r="N21" s="106"/>
      <c r="O21" s="106">
        <v>1599</v>
      </c>
      <c r="P21" s="106"/>
      <c r="Q21" s="106">
        <f t="shared" ref="Q21:Q29" si="22">I21+K21+M21+O21</f>
        <v>5835</v>
      </c>
      <c r="R21" s="106">
        <f t="shared" ref="R21:R29" si="23">J21+L21+N21+P21</f>
        <v>0</v>
      </c>
      <c r="S21" s="105">
        <v>623</v>
      </c>
      <c r="T21" s="105">
        <v>657</v>
      </c>
      <c r="U21" s="105">
        <v>672</v>
      </c>
      <c r="V21" s="105">
        <v>688</v>
      </c>
      <c r="W21" s="105">
        <v>688</v>
      </c>
      <c r="X21" s="134">
        <f t="shared" si="4"/>
        <v>0.89527027027027029</v>
      </c>
      <c r="Y21" s="87">
        <f t="shared" si="5"/>
        <v>42.904716981132076</v>
      </c>
      <c r="Z21" s="92">
        <f t="shared" si="0"/>
        <v>0.99858557284299854</v>
      </c>
      <c r="AA21" s="87">
        <f t="shared" si="6"/>
        <v>42.458392351274789</v>
      </c>
      <c r="AB21" s="92">
        <f t="shared" si="7"/>
        <v>0.97654723127035825</v>
      </c>
      <c r="AC21" s="87">
        <f t="shared" si="8"/>
        <v>40.907271514342895</v>
      </c>
      <c r="AD21" s="92">
        <f t="shared" si="9"/>
        <v>0.98948019801980203</v>
      </c>
      <c r="AE21" s="87">
        <f t="shared" si="10"/>
        <v>39.262038774233901</v>
      </c>
      <c r="AF21" s="92">
        <f t="shared" si="11"/>
        <v>0.9652605459057072</v>
      </c>
      <c r="AG21" s="87">
        <f t="shared" si="12"/>
        <v>43.036846615252784</v>
      </c>
    </row>
    <row r="22" spans="2:33" s="81" customFormat="1" ht="18" customHeight="1">
      <c r="B22" s="197"/>
      <c r="C22" s="86" t="s">
        <v>28</v>
      </c>
      <c r="D22" s="109">
        <v>2039</v>
      </c>
      <c r="E22" s="109">
        <v>2026</v>
      </c>
      <c r="F22" s="109">
        <v>1665</v>
      </c>
      <c r="G22" s="109">
        <v>1825</v>
      </c>
      <c r="H22" s="109">
        <f t="shared" si="21"/>
        <v>7555</v>
      </c>
      <c r="I22" s="106">
        <v>1969</v>
      </c>
      <c r="J22" s="106">
        <v>1</v>
      </c>
      <c r="K22" s="106">
        <v>1968</v>
      </c>
      <c r="L22" s="106">
        <v>1</v>
      </c>
      <c r="M22" s="106">
        <v>1639</v>
      </c>
      <c r="N22" s="106"/>
      <c r="O22" s="106">
        <v>1713</v>
      </c>
      <c r="P22" s="106">
        <v>4</v>
      </c>
      <c r="Q22" s="106">
        <f t="shared" si="22"/>
        <v>7289</v>
      </c>
      <c r="R22" s="106">
        <f t="shared" si="23"/>
        <v>6</v>
      </c>
      <c r="S22" s="105">
        <v>3468</v>
      </c>
      <c r="T22" s="105">
        <v>3525</v>
      </c>
      <c r="U22" s="105">
        <v>3551</v>
      </c>
      <c r="V22" s="105">
        <v>3659</v>
      </c>
      <c r="W22" s="105">
        <v>3659</v>
      </c>
      <c r="X22" s="134">
        <f t="shared" si="4"/>
        <v>0.96566944580676806</v>
      </c>
      <c r="Y22" s="87">
        <f t="shared" si="5"/>
        <v>160.71863890299645</v>
      </c>
      <c r="Z22" s="92">
        <f t="shared" si="0"/>
        <v>0.97137216189536035</v>
      </c>
      <c r="AA22" s="87">
        <f t="shared" si="6"/>
        <v>163.44321646341464</v>
      </c>
      <c r="AB22" s="92">
        <f t="shared" si="7"/>
        <v>0.98438438438438436</v>
      </c>
      <c r="AC22" s="87">
        <f t="shared" si="8"/>
        <v>197.69905430140329</v>
      </c>
      <c r="AD22" s="92">
        <f t="shared" si="9"/>
        <v>0.93863013698630138</v>
      </c>
      <c r="AE22" s="87">
        <f t="shared" si="10"/>
        <v>194.91170461179217</v>
      </c>
      <c r="AF22" s="92">
        <f t="shared" si="11"/>
        <v>0.96479152878888153</v>
      </c>
      <c r="AG22" s="87">
        <f t="shared" si="12"/>
        <v>183.226094114419</v>
      </c>
    </row>
    <row r="23" spans="2:33" s="81" customFormat="1" ht="18" customHeight="1">
      <c r="B23" s="197"/>
      <c r="C23" s="86" t="s">
        <v>29</v>
      </c>
      <c r="D23" s="109">
        <v>264</v>
      </c>
      <c r="E23" s="109">
        <v>273</v>
      </c>
      <c r="F23" s="109">
        <v>222</v>
      </c>
      <c r="G23" s="109">
        <v>252</v>
      </c>
      <c r="H23" s="109">
        <f t="shared" si="21"/>
        <v>1011</v>
      </c>
      <c r="I23" s="106">
        <v>328</v>
      </c>
      <c r="J23" s="106"/>
      <c r="K23" s="106">
        <v>273</v>
      </c>
      <c r="L23" s="106"/>
      <c r="M23" s="106">
        <v>242</v>
      </c>
      <c r="N23" s="106"/>
      <c r="O23" s="106">
        <v>269</v>
      </c>
      <c r="P23" s="106"/>
      <c r="Q23" s="106">
        <f t="shared" si="22"/>
        <v>1112</v>
      </c>
      <c r="R23" s="106">
        <f t="shared" si="23"/>
        <v>0</v>
      </c>
      <c r="S23" s="105">
        <v>182</v>
      </c>
      <c r="T23" s="105">
        <v>182</v>
      </c>
      <c r="U23" s="105">
        <v>162</v>
      </c>
      <c r="V23" s="105">
        <v>145</v>
      </c>
      <c r="W23" s="105">
        <v>145</v>
      </c>
      <c r="X23" s="134">
        <f t="shared" si="4"/>
        <v>1.2424242424242424</v>
      </c>
      <c r="Y23" s="87">
        <f t="shared" si="5"/>
        <v>50.632621951219519</v>
      </c>
      <c r="Z23" s="92">
        <f t="shared" si="0"/>
        <v>1</v>
      </c>
      <c r="AA23" s="87">
        <f t="shared" si="6"/>
        <v>60.833333333333329</v>
      </c>
      <c r="AB23" s="92">
        <f t="shared" si="7"/>
        <v>1.0900900900900901</v>
      </c>
      <c r="AC23" s="87">
        <f t="shared" si="8"/>
        <v>61.084710743801651</v>
      </c>
      <c r="AD23" s="92">
        <f t="shared" si="9"/>
        <v>1.0674603174603174</v>
      </c>
      <c r="AE23" s="87">
        <f t="shared" si="10"/>
        <v>49.186802973977692</v>
      </c>
      <c r="AF23" s="92">
        <f t="shared" si="11"/>
        <v>1.0999010880316518</v>
      </c>
      <c r="AG23" s="87">
        <f t="shared" si="12"/>
        <v>47.594424460431654</v>
      </c>
    </row>
    <row r="24" spans="2:33" s="81" customFormat="1" ht="18" customHeight="1">
      <c r="B24" s="197"/>
      <c r="C24" s="86" t="s">
        <v>30</v>
      </c>
      <c r="D24" s="109">
        <v>192</v>
      </c>
      <c r="E24" s="109">
        <v>163</v>
      </c>
      <c r="F24" s="109">
        <v>134</v>
      </c>
      <c r="G24" s="109">
        <v>191</v>
      </c>
      <c r="H24" s="109">
        <f t="shared" si="21"/>
        <v>680</v>
      </c>
      <c r="I24" s="106">
        <v>196</v>
      </c>
      <c r="J24" s="106"/>
      <c r="K24" s="106">
        <v>168</v>
      </c>
      <c r="L24" s="106"/>
      <c r="M24" s="106">
        <v>131</v>
      </c>
      <c r="N24" s="106"/>
      <c r="O24" s="106">
        <v>190</v>
      </c>
      <c r="P24" s="106"/>
      <c r="Q24" s="106">
        <f t="shared" si="22"/>
        <v>685</v>
      </c>
      <c r="R24" s="106">
        <f t="shared" si="23"/>
        <v>0</v>
      </c>
      <c r="S24" s="105">
        <v>160</v>
      </c>
      <c r="T24" s="105">
        <v>167</v>
      </c>
      <c r="U24" s="105">
        <v>171</v>
      </c>
      <c r="V24" s="105">
        <v>172</v>
      </c>
      <c r="W24" s="105">
        <v>172</v>
      </c>
      <c r="X24" s="134">
        <f t="shared" si="4"/>
        <v>1.0208333333333333</v>
      </c>
      <c r="Y24" s="87">
        <f t="shared" si="5"/>
        <v>74.489795918367349</v>
      </c>
      <c r="Z24" s="92">
        <f t="shared" si="0"/>
        <v>1.0306748466257669</v>
      </c>
      <c r="AA24" s="87">
        <f t="shared" si="6"/>
        <v>90.706845238095241</v>
      </c>
      <c r="AB24" s="92">
        <f t="shared" si="7"/>
        <v>0.97761194029850751</v>
      </c>
      <c r="AC24" s="87">
        <f t="shared" si="8"/>
        <v>119.11259541984734</v>
      </c>
      <c r="AD24" s="92">
        <f t="shared" si="9"/>
        <v>0.99476439790575921</v>
      </c>
      <c r="AE24" s="87">
        <f t="shared" si="10"/>
        <v>82.60526315789474</v>
      </c>
      <c r="AF24" s="92">
        <f t="shared" si="11"/>
        <v>1.0073529411764706</v>
      </c>
      <c r="AG24" s="87">
        <f t="shared" si="12"/>
        <v>91.649635036496349</v>
      </c>
    </row>
    <row r="25" spans="2:33" s="81" customFormat="1" ht="18" customHeight="1">
      <c r="B25" s="197"/>
      <c r="C25" s="86" t="s">
        <v>31</v>
      </c>
      <c r="D25" s="109">
        <v>28</v>
      </c>
      <c r="E25" s="109">
        <v>19</v>
      </c>
      <c r="F25" s="109">
        <v>20</v>
      </c>
      <c r="G25" s="109">
        <v>30</v>
      </c>
      <c r="H25" s="109">
        <f t="shared" si="21"/>
        <v>97</v>
      </c>
      <c r="I25" s="106">
        <v>19</v>
      </c>
      <c r="J25" s="106">
        <v>2</v>
      </c>
      <c r="K25" s="106">
        <v>22</v>
      </c>
      <c r="L25" s="106"/>
      <c r="M25" s="106">
        <v>22</v>
      </c>
      <c r="N25" s="106"/>
      <c r="O25" s="106">
        <v>20</v>
      </c>
      <c r="P25" s="106"/>
      <c r="Q25" s="106">
        <f t="shared" si="22"/>
        <v>83</v>
      </c>
      <c r="R25" s="106">
        <f t="shared" si="23"/>
        <v>2</v>
      </c>
      <c r="S25" s="105">
        <v>159</v>
      </c>
      <c r="T25" s="105">
        <v>158</v>
      </c>
      <c r="U25" s="105">
        <v>157</v>
      </c>
      <c r="V25" s="105">
        <v>167</v>
      </c>
      <c r="W25" s="105">
        <v>167</v>
      </c>
      <c r="X25" s="134">
        <f t="shared" si="4"/>
        <v>0.6785714285714286</v>
      </c>
      <c r="Y25" s="87">
        <f t="shared" si="5"/>
        <v>763.61842105263156</v>
      </c>
      <c r="Z25" s="92">
        <f t="shared" si="0"/>
        <v>1.1578947368421053</v>
      </c>
      <c r="AA25" s="87">
        <f t="shared" si="6"/>
        <v>655.34090909090912</v>
      </c>
      <c r="AB25" s="92">
        <f t="shared" si="7"/>
        <v>1.1000000000000001</v>
      </c>
      <c r="AC25" s="87">
        <f t="shared" si="8"/>
        <v>651.19318181818187</v>
      </c>
      <c r="AD25" s="92">
        <f t="shared" si="9"/>
        <v>0.66666666666666663</v>
      </c>
      <c r="AE25" s="87">
        <f t="shared" si="10"/>
        <v>761.9375</v>
      </c>
      <c r="AF25" s="92">
        <f t="shared" si="11"/>
        <v>0.85567010309278346</v>
      </c>
      <c r="AG25" s="87">
        <f t="shared" si="12"/>
        <v>734.39759036144585</v>
      </c>
    </row>
    <row r="26" spans="2:33" s="81" customFormat="1" ht="18" customHeight="1">
      <c r="B26" s="197"/>
      <c r="C26" s="86" t="s">
        <v>32</v>
      </c>
      <c r="D26" s="109">
        <v>7</v>
      </c>
      <c r="E26" s="109">
        <v>6</v>
      </c>
      <c r="F26" s="109">
        <v>4</v>
      </c>
      <c r="G26" s="109">
        <v>8</v>
      </c>
      <c r="H26" s="109">
        <f t="shared" si="21"/>
        <v>25</v>
      </c>
      <c r="I26" s="106">
        <v>2</v>
      </c>
      <c r="J26" s="106">
        <v>1</v>
      </c>
      <c r="K26" s="106">
        <v>9</v>
      </c>
      <c r="L26" s="106"/>
      <c r="M26" s="106">
        <v>7</v>
      </c>
      <c r="N26" s="106"/>
      <c r="O26" s="106">
        <v>4</v>
      </c>
      <c r="P26" s="106"/>
      <c r="Q26" s="106">
        <f t="shared" si="22"/>
        <v>22</v>
      </c>
      <c r="R26" s="106">
        <f t="shared" si="23"/>
        <v>1</v>
      </c>
      <c r="S26" s="105">
        <v>148</v>
      </c>
      <c r="T26" s="105">
        <v>94</v>
      </c>
      <c r="U26" s="105">
        <v>91</v>
      </c>
      <c r="V26" s="105">
        <v>95</v>
      </c>
      <c r="W26" s="105">
        <v>95</v>
      </c>
      <c r="X26" s="134">
        <f t="shared" si="4"/>
        <v>0.2857142857142857</v>
      </c>
      <c r="Y26" s="87">
        <f t="shared" si="5"/>
        <v>6752.5</v>
      </c>
      <c r="Z26" s="92">
        <f t="shared" si="0"/>
        <v>1.5</v>
      </c>
      <c r="AA26" s="87">
        <f t="shared" si="6"/>
        <v>953.05555555555554</v>
      </c>
      <c r="AB26" s="92">
        <f t="shared" si="7"/>
        <v>1.75</v>
      </c>
      <c r="AC26" s="87">
        <f t="shared" si="8"/>
        <v>1186.25</v>
      </c>
      <c r="AD26" s="92">
        <f t="shared" si="9"/>
        <v>0.5</v>
      </c>
      <c r="AE26" s="87">
        <f t="shared" si="10"/>
        <v>2167.1875</v>
      </c>
      <c r="AF26" s="92">
        <f t="shared" si="11"/>
        <v>0.88</v>
      </c>
      <c r="AG26" s="87">
        <f t="shared" si="12"/>
        <v>1576.1363636363637</v>
      </c>
    </row>
    <row r="27" spans="2:33" s="81" customFormat="1" ht="18" customHeight="1">
      <c r="B27" s="197"/>
      <c r="C27" s="86" t="s">
        <v>33</v>
      </c>
      <c r="D27" s="109">
        <v>4555</v>
      </c>
      <c r="E27" s="109">
        <v>3361</v>
      </c>
      <c r="F27" s="109">
        <v>3450</v>
      </c>
      <c r="G27" s="109">
        <v>3804</v>
      </c>
      <c r="H27" s="109">
        <f t="shared" si="21"/>
        <v>15170</v>
      </c>
      <c r="I27" s="106">
        <v>4606</v>
      </c>
      <c r="J27" s="106"/>
      <c r="K27" s="106">
        <v>3156</v>
      </c>
      <c r="L27" s="106"/>
      <c r="M27" s="106">
        <v>3425</v>
      </c>
      <c r="N27" s="106"/>
      <c r="O27" s="106">
        <v>3746</v>
      </c>
      <c r="P27" s="106"/>
      <c r="Q27" s="106">
        <f t="shared" si="22"/>
        <v>14933</v>
      </c>
      <c r="R27" s="106">
        <f t="shared" si="23"/>
        <v>0</v>
      </c>
      <c r="S27" s="105">
        <v>816</v>
      </c>
      <c r="T27" s="105">
        <v>997</v>
      </c>
      <c r="U27" s="105">
        <v>1020</v>
      </c>
      <c r="V27" s="105">
        <v>1077</v>
      </c>
      <c r="W27" s="105">
        <v>1077</v>
      </c>
      <c r="X27" s="134">
        <f t="shared" si="4"/>
        <v>1.0111964873765094</v>
      </c>
      <c r="Y27" s="87">
        <f t="shared" si="5"/>
        <v>16.165870603560574</v>
      </c>
      <c r="Z27" s="92">
        <f t="shared" si="0"/>
        <v>0.93900624814043443</v>
      </c>
      <c r="AA27" s="87">
        <f t="shared" si="6"/>
        <v>28.826441698352344</v>
      </c>
      <c r="AB27" s="92">
        <f t="shared" si="7"/>
        <v>0.99275362318840576</v>
      </c>
      <c r="AC27" s="87">
        <f t="shared" si="8"/>
        <v>27.175182481751822</v>
      </c>
      <c r="AD27" s="92">
        <f t="shared" si="9"/>
        <v>0.98475289169295477</v>
      </c>
      <c r="AE27" s="87">
        <f t="shared" si="10"/>
        <v>26.234983982915107</v>
      </c>
      <c r="AF27" s="92">
        <f t="shared" si="11"/>
        <v>0.98437705998681613</v>
      </c>
      <c r="AG27" s="87">
        <f t="shared" si="12"/>
        <v>26.324583138016472</v>
      </c>
    </row>
    <row r="28" spans="2:33" s="81" customFormat="1" ht="18" customHeight="1">
      <c r="B28" s="197"/>
      <c r="C28" s="86" t="s">
        <v>34</v>
      </c>
      <c r="D28" s="109">
        <v>538</v>
      </c>
      <c r="E28" s="109">
        <v>587</v>
      </c>
      <c r="F28" s="109">
        <v>476</v>
      </c>
      <c r="G28" s="109">
        <v>569</v>
      </c>
      <c r="H28" s="109">
        <f t="shared" si="21"/>
        <v>2170</v>
      </c>
      <c r="I28" s="106">
        <v>522</v>
      </c>
      <c r="J28" s="106"/>
      <c r="K28" s="106">
        <v>551</v>
      </c>
      <c r="L28" s="106"/>
      <c r="M28" s="106">
        <v>511</v>
      </c>
      <c r="N28" s="106"/>
      <c r="O28" s="106">
        <v>588</v>
      </c>
      <c r="P28" s="106"/>
      <c r="Q28" s="106">
        <f t="shared" si="22"/>
        <v>2172</v>
      </c>
      <c r="R28" s="106">
        <f t="shared" si="23"/>
        <v>0</v>
      </c>
      <c r="S28" s="105">
        <v>86</v>
      </c>
      <c r="T28" s="105">
        <v>122</v>
      </c>
      <c r="U28" s="105">
        <v>87</v>
      </c>
      <c r="V28" s="105">
        <v>68</v>
      </c>
      <c r="W28" s="105">
        <v>68</v>
      </c>
      <c r="X28" s="134">
        <f t="shared" si="4"/>
        <v>0.97026022304832715</v>
      </c>
      <c r="Y28" s="87">
        <f t="shared" si="5"/>
        <v>15.033524904214559</v>
      </c>
      <c r="Z28" s="92">
        <f t="shared" si="0"/>
        <v>0.93867120954003402</v>
      </c>
      <c r="AA28" s="87">
        <f t="shared" si="6"/>
        <v>20.204174228675136</v>
      </c>
      <c r="AB28" s="92">
        <f t="shared" si="7"/>
        <v>1.0735294117647058</v>
      </c>
      <c r="AC28" s="87">
        <f t="shared" si="8"/>
        <v>15.535714285714285</v>
      </c>
      <c r="AD28" s="92">
        <f t="shared" si="9"/>
        <v>1.0333919156414764</v>
      </c>
      <c r="AE28" s="87">
        <f t="shared" si="10"/>
        <v>10.552721088435375</v>
      </c>
      <c r="AF28" s="92">
        <f t="shared" si="11"/>
        <v>1.0009216589861751</v>
      </c>
      <c r="AG28" s="87">
        <f t="shared" si="12"/>
        <v>11.427255985267037</v>
      </c>
    </row>
    <row r="29" spans="2:33" s="81" customFormat="1" ht="18" customHeight="1">
      <c r="B29" s="197"/>
      <c r="C29" s="86" t="s">
        <v>35</v>
      </c>
      <c r="D29" s="109">
        <v>17740</v>
      </c>
      <c r="E29" s="109">
        <v>18687</v>
      </c>
      <c r="F29" s="109">
        <v>13540</v>
      </c>
      <c r="G29" s="109">
        <v>15753</v>
      </c>
      <c r="H29" s="109">
        <f t="shared" si="21"/>
        <v>65720</v>
      </c>
      <c r="I29" s="106">
        <v>19420</v>
      </c>
      <c r="J29" s="106">
        <v>798</v>
      </c>
      <c r="K29" s="106">
        <v>18714</v>
      </c>
      <c r="L29" s="106">
        <v>802</v>
      </c>
      <c r="M29" s="106">
        <v>13659</v>
      </c>
      <c r="N29" s="106"/>
      <c r="O29" s="106">
        <v>16308</v>
      </c>
      <c r="P29" s="106">
        <v>1798</v>
      </c>
      <c r="Q29" s="106">
        <f t="shared" si="22"/>
        <v>68101</v>
      </c>
      <c r="R29" s="106">
        <f t="shared" si="23"/>
        <v>3398</v>
      </c>
      <c r="S29" s="105">
        <v>49806</v>
      </c>
      <c r="T29" s="105">
        <v>48977</v>
      </c>
      <c r="U29" s="105">
        <v>48863</v>
      </c>
      <c r="V29" s="105">
        <v>46513</v>
      </c>
      <c r="W29" s="105">
        <v>46513</v>
      </c>
      <c r="X29" s="134">
        <f t="shared" si="4"/>
        <v>1.0947012401352876</v>
      </c>
      <c r="Y29" s="87">
        <f t="shared" si="5"/>
        <v>234.02664778578784</v>
      </c>
      <c r="Z29" s="92">
        <f t="shared" si="0"/>
        <v>1.0014448547118318</v>
      </c>
      <c r="AA29" s="87">
        <f t="shared" si="6"/>
        <v>238.81325478251577</v>
      </c>
      <c r="AB29" s="92">
        <f t="shared" si="7"/>
        <v>1.0087887740029542</v>
      </c>
      <c r="AC29" s="87">
        <f t="shared" si="8"/>
        <v>326.43302950435611</v>
      </c>
      <c r="AD29" s="92">
        <f t="shared" si="9"/>
        <v>1.0352313844981909</v>
      </c>
      <c r="AE29" s="87">
        <f t="shared" si="10"/>
        <v>260.25945854795191</v>
      </c>
      <c r="AF29" s="92">
        <f t="shared" si="11"/>
        <v>1.0362294583079732</v>
      </c>
      <c r="AG29" s="87">
        <f t="shared" si="12"/>
        <v>249.29509111466794</v>
      </c>
    </row>
    <row r="30" spans="2:33" s="85" customFormat="1" ht="18" customHeight="1">
      <c r="B30" s="197"/>
      <c r="C30" s="82" t="s">
        <v>36</v>
      </c>
      <c r="D30" s="91">
        <f>SUM(D28:D29)</f>
        <v>18278</v>
      </c>
      <c r="E30" s="91">
        <f t="shared" ref="E30:W30" si="24">SUM(E28:E29)</f>
        <v>19274</v>
      </c>
      <c r="F30" s="91">
        <f t="shared" si="24"/>
        <v>14016</v>
      </c>
      <c r="G30" s="91">
        <f t="shared" si="24"/>
        <v>16322</v>
      </c>
      <c r="H30" s="91">
        <f t="shared" si="24"/>
        <v>67890</v>
      </c>
      <c r="I30" s="91">
        <f t="shared" si="24"/>
        <v>19942</v>
      </c>
      <c r="J30" s="91">
        <f t="shared" si="24"/>
        <v>798</v>
      </c>
      <c r="K30" s="91">
        <f t="shared" si="24"/>
        <v>19265</v>
      </c>
      <c r="L30" s="91">
        <f t="shared" si="24"/>
        <v>802</v>
      </c>
      <c r="M30" s="91">
        <f t="shared" si="24"/>
        <v>14170</v>
      </c>
      <c r="N30" s="91">
        <f t="shared" si="24"/>
        <v>0</v>
      </c>
      <c r="O30" s="91">
        <f t="shared" si="24"/>
        <v>16896</v>
      </c>
      <c r="P30" s="91">
        <f t="shared" si="24"/>
        <v>1798</v>
      </c>
      <c r="Q30" s="91">
        <f t="shared" si="24"/>
        <v>70273</v>
      </c>
      <c r="R30" s="91">
        <f t="shared" si="24"/>
        <v>3398</v>
      </c>
      <c r="S30" s="91">
        <f t="shared" si="24"/>
        <v>49892</v>
      </c>
      <c r="T30" s="91">
        <f t="shared" si="24"/>
        <v>49099</v>
      </c>
      <c r="U30" s="91">
        <f t="shared" si="24"/>
        <v>48950</v>
      </c>
      <c r="V30" s="91">
        <f t="shared" si="24"/>
        <v>46581</v>
      </c>
      <c r="W30" s="125">
        <f t="shared" si="24"/>
        <v>46581</v>
      </c>
      <c r="X30" s="135">
        <f t="shared" si="4"/>
        <v>1.0910384068278804</v>
      </c>
      <c r="Y30" s="91">
        <f t="shared" si="5"/>
        <v>228.29430348009225</v>
      </c>
      <c r="Z30" s="93">
        <f t="shared" si="0"/>
        <v>0.99953304970426482</v>
      </c>
      <c r="AA30" s="91">
        <f t="shared" si="6"/>
        <v>232.56079678172856</v>
      </c>
      <c r="AB30" s="93">
        <f t="shared" si="7"/>
        <v>1.0109874429223744</v>
      </c>
      <c r="AC30" s="91">
        <f t="shared" si="8"/>
        <v>315.22141848976707</v>
      </c>
      <c r="AD30" s="93">
        <f t="shared" si="9"/>
        <v>1.0351672589143488</v>
      </c>
      <c r="AE30" s="91">
        <f t="shared" si="10"/>
        <v>251.56938032670453</v>
      </c>
      <c r="AF30" s="93">
        <f t="shared" si="11"/>
        <v>1.0351008985122994</v>
      </c>
      <c r="AG30" s="91">
        <f t="shared" si="12"/>
        <v>241.94306490401721</v>
      </c>
    </row>
    <row r="31" spans="2:33" s="85" customFormat="1" ht="24.95" customHeight="1">
      <c r="B31" s="197"/>
      <c r="C31" s="88" t="s">
        <v>24</v>
      </c>
      <c r="D31" s="89">
        <f t="shared" ref="D31" si="25">SUM(D20:D29)</f>
        <v>28964</v>
      </c>
      <c r="E31" s="89">
        <f t="shared" ref="E31:W31" si="26">SUM(E20:E29)</f>
        <v>28737</v>
      </c>
      <c r="F31" s="89">
        <f t="shared" si="26"/>
        <v>22852</v>
      </c>
      <c r="G31" s="89">
        <f t="shared" si="26"/>
        <v>26409</v>
      </c>
      <c r="H31" s="89">
        <f t="shared" si="26"/>
        <v>106962</v>
      </c>
      <c r="I31" s="89">
        <f t="shared" si="26"/>
        <v>30476</v>
      </c>
      <c r="J31" s="89">
        <f t="shared" si="26"/>
        <v>802</v>
      </c>
      <c r="K31" s="89">
        <f t="shared" si="26"/>
        <v>28194</v>
      </c>
      <c r="L31" s="89">
        <f t="shared" si="26"/>
        <v>803</v>
      </c>
      <c r="M31" s="89">
        <f t="shared" si="26"/>
        <v>22718</v>
      </c>
      <c r="N31" s="89">
        <f t="shared" si="26"/>
        <v>0</v>
      </c>
      <c r="O31" s="89">
        <f t="shared" si="26"/>
        <v>26625</v>
      </c>
      <c r="P31" s="89">
        <f t="shared" si="26"/>
        <v>2169</v>
      </c>
      <c r="Q31" s="89">
        <f t="shared" si="26"/>
        <v>108013</v>
      </c>
      <c r="R31" s="89">
        <f t="shared" si="26"/>
        <v>3774</v>
      </c>
      <c r="S31" s="89">
        <f t="shared" si="26"/>
        <v>57833</v>
      </c>
      <c r="T31" s="89">
        <f t="shared" si="26"/>
        <v>57551</v>
      </c>
      <c r="U31" s="89">
        <f t="shared" si="26"/>
        <v>57669</v>
      </c>
      <c r="V31" s="89">
        <f t="shared" si="26"/>
        <v>55285</v>
      </c>
      <c r="W31" s="124">
        <f t="shared" si="26"/>
        <v>55285</v>
      </c>
      <c r="X31" s="136">
        <f t="shared" si="4"/>
        <v>1.0522027344289462</v>
      </c>
      <c r="Y31" s="89">
        <f t="shared" si="5"/>
        <v>173.16121702323139</v>
      </c>
      <c r="Z31" s="94">
        <f t="shared" si="0"/>
        <v>0.98110449942582734</v>
      </c>
      <c r="AA31" s="89">
        <f t="shared" si="6"/>
        <v>186.26405440873944</v>
      </c>
      <c r="AB31" s="94">
        <f t="shared" si="7"/>
        <v>0.99413618064064413</v>
      </c>
      <c r="AC31" s="89">
        <f t="shared" si="8"/>
        <v>231.63554230125891</v>
      </c>
      <c r="AD31" s="94">
        <f t="shared" si="9"/>
        <v>1.0081790298761786</v>
      </c>
      <c r="AE31" s="89">
        <f t="shared" si="10"/>
        <v>189.4744131455399</v>
      </c>
      <c r="AF31" s="94">
        <f t="shared" si="11"/>
        <v>1.0098259194854247</v>
      </c>
      <c r="AG31" s="89">
        <f t="shared" si="12"/>
        <v>186.82033644098397</v>
      </c>
    </row>
    <row r="32" spans="2:33" s="81" customFormat="1" ht="18" customHeight="1">
      <c r="B32" s="227" t="s">
        <v>37</v>
      </c>
      <c r="C32" s="79" t="s">
        <v>38</v>
      </c>
      <c r="D32" s="109">
        <v>5301</v>
      </c>
      <c r="E32" s="109">
        <v>4506</v>
      </c>
      <c r="F32" s="109">
        <v>3858</v>
      </c>
      <c r="G32" s="109">
        <v>4232</v>
      </c>
      <c r="H32" s="109">
        <f t="shared" ref="H32:H39" si="27">SUM(D32:G32)</f>
        <v>17897</v>
      </c>
      <c r="I32" s="106">
        <v>6211</v>
      </c>
      <c r="J32" s="106">
        <v>0</v>
      </c>
      <c r="K32" s="106">
        <v>4919</v>
      </c>
      <c r="L32" s="106"/>
      <c r="M32" s="106">
        <v>2780</v>
      </c>
      <c r="N32" s="106"/>
      <c r="O32" s="106">
        <v>4470</v>
      </c>
      <c r="P32" s="106"/>
      <c r="Q32" s="106">
        <f t="shared" ref="Q32:Q39" si="28">I32+K32+M32+O32</f>
        <v>18380</v>
      </c>
      <c r="R32" s="106">
        <f t="shared" ref="R32:R39" si="29">J32+L32+N32+P32</f>
        <v>0</v>
      </c>
      <c r="S32" s="106">
        <v>19926</v>
      </c>
      <c r="T32" s="106">
        <v>19514</v>
      </c>
      <c r="U32" s="106">
        <v>20591</v>
      </c>
      <c r="V32" s="106">
        <v>20346</v>
      </c>
      <c r="W32" s="106">
        <v>20346</v>
      </c>
      <c r="X32" s="134">
        <f t="shared" si="4"/>
        <v>1.171665723448406</v>
      </c>
      <c r="Y32" s="87">
        <f t="shared" si="5"/>
        <v>292.74633714377717</v>
      </c>
      <c r="Z32" s="92">
        <f t="shared" si="0"/>
        <v>1.0916555703506436</v>
      </c>
      <c r="AA32" s="87">
        <f t="shared" si="6"/>
        <v>361.99481601951618</v>
      </c>
      <c r="AB32" s="92">
        <f t="shared" si="7"/>
        <v>0.72058061171591503</v>
      </c>
      <c r="AC32" s="87">
        <f t="shared" si="8"/>
        <v>675.87365107913661</v>
      </c>
      <c r="AD32" s="92">
        <f t="shared" si="9"/>
        <v>1.0562381852551985</v>
      </c>
      <c r="AE32" s="87">
        <f t="shared" si="10"/>
        <v>415.3406040268456</v>
      </c>
      <c r="AF32" s="92">
        <f t="shared" si="11"/>
        <v>1.026987763312287</v>
      </c>
      <c r="AG32" s="87">
        <f t="shared" si="12"/>
        <v>404.04189336235044</v>
      </c>
    </row>
    <row r="33" spans="2:37" s="81" customFormat="1" ht="18" customHeight="1">
      <c r="B33" s="228"/>
      <c r="C33" s="79" t="s">
        <v>18</v>
      </c>
      <c r="D33" s="109">
        <v>727</v>
      </c>
      <c r="E33" s="109">
        <v>524</v>
      </c>
      <c r="F33" s="109">
        <v>459</v>
      </c>
      <c r="G33" s="109">
        <v>440</v>
      </c>
      <c r="H33" s="109">
        <f t="shared" si="27"/>
        <v>2150</v>
      </c>
      <c r="I33" s="106">
        <v>1110</v>
      </c>
      <c r="J33" s="106">
        <v>0</v>
      </c>
      <c r="K33" s="106">
        <v>532</v>
      </c>
      <c r="L33" s="106"/>
      <c r="M33" s="106">
        <v>256</v>
      </c>
      <c r="N33" s="106"/>
      <c r="O33" s="106">
        <v>362</v>
      </c>
      <c r="P33" s="106"/>
      <c r="Q33" s="106">
        <f t="shared" si="28"/>
        <v>2260</v>
      </c>
      <c r="R33" s="106">
        <f t="shared" si="29"/>
        <v>0</v>
      </c>
      <c r="S33" s="106">
        <v>845</v>
      </c>
      <c r="T33" s="106">
        <v>837</v>
      </c>
      <c r="U33" s="106">
        <v>1039</v>
      </c>
      <c r="V33" s="106">
        <v>1115</v>
      </c>
      <c r="W33" s="106">
        <v>1115</v>
      </c>
      <c r="X33" s="134">
        <f t="shared" si="4"/>
        <v>1.5268225584594224</v>
      </c>
      <c r="Y33" s="87">
        <f t="shared" si="5"/>
        <v>69.465090090090087</v>
      </c>
      <c r="Z33" s="92">
        <f t="shared" si="0"/>
        <v>1.0152671755725191</v>
      </c>
      <c r="AA33" s="87">
        <f t="shared" si="6"/>
        <v>143.56437969924812</v>
      </c>
      <c r="AB33" s="92">
        <f t="shared" si="7"/>
        <v>0.55773420479302838</v>
      </c>
      <c r="AC33" s="87">
        <f t="shared" si="8"/>
        <v>370.3466796875</v>
      </c>
      <c r="AD33" s="92">
        <f t="shared" si="9"/>
        <v>0.82272727272727275</v>
      </c>
      <c r="AE33" s="87">
        <f t="shared" si="10"/>
        <v>281.06008287292821</v>
      </c>
      <c r="AF33" s="92">
        <f t="shared" si="11"/>
        <v>1.0511627906976744</v>
      </c>
      <c r="AG33" s="87">
        <f t="shared" si="12"/>
        <v>180.07743362831857</v>
      </c>
    </row>
    <row r="34" spans="2:37" s="81" customFormat="1" ht="18" customHeight="1">
      <c r="B34" s="228"/>
      <c r="C34" s="79" t="s">
        <v>39</v>
      </c>
      <c r="D34" s="109">
        <v>292</v>
      </c>
      <c r="E34" s="109">
        <v>354</v>
      </c>
      <c r="F34" s="109">
        <v>234</v>
      </c>
      <c r="G34" s="109">
        <v>329</v>
      </c>
      <c r="H34" s="109">
        <f t="shared" si="27"/>
        <v>1209</v>
      </c>
      <c r="I34" s="106">
        <v>309</v>
      </c>
      <c r="J34" s="106">
        <v>0</v>
      </c>
      <c r="K34" s="106">
        <v>405</v>
      </c>
      <c r="L34" s="106"/>
      <c r="M34" s="106">
        <v>229</v>
      </c>
      <c r="N34" s="106"/>
      <c r="O34" s="106">
        <v>285</v>
      </c>
      <c r="P34" s="106"/>
      <c r="Q34" s="106">
        <f t="shared" si="28"/>
        <v>1228</v>
      </c>
      <c r="R34" s="106">
        <f t="shared" si="29"/>
        <v>0</v>
      </c>
      <c r="S34" s="106">
        <v>367</v>
      </c>
      <c r="T34" s="106">
        <v>316</v>
      </c>
      <c r="U34" s="106">
        <v>320</v>
      </c>
      <c r="V34" s="106">
        <v>365</v>
      </c>
      <c r="W34" s="106">
        <v>365</v>
      </c>
      <c r="X34" s="134">
        <f t="shared" si="4"/>
        <v>1.0582191780821917</v>
      </c>
      <c r="Y34" s="87">
        <f t="shared" si="5"/>
        <v>108.37783171521035</v>
      </c>
      <c r="Z34" s="92">
        <f t="shared" si="0"/>
        <v>1.1440677966101696</v>
      </c>
      <c r="AA34" s="87">
        <f t="shared" si="6"/>
        <v>71.197530864197532</v>
      </c>
      <c r="AB34" s="92">
        <f t="shared" si="7"/>
        <v>0.9786324786324786</v>
      </c>
      <c r="AC34" s="87">
        <f t="shared" si="8"/>
        <v>127.51091703056768</v>
      </c>
      <c r="AD34" s="92">
        <f t="shared" si="9"/>
        <v>0.86626139817629177</v>
      </c>
      <c r="AE34" s="87">
        <f t="shared" si="10"/>
        <v>116.8640350877193</v>
      </c>
      <c r="AF34" s="92">
        <f t="shared" si="11"/>
        <v>1.0157154673283706</v>
      </c>
      <c r="AG34" s="87">
        <f t="shared" si="12"/>
        <v>108.48941368078177</v>
      </c>
    </row>
    <row r="35" spans="2:37" s="81" customFormat="1" ht="18" customHeight="1">
      <c r="B35" s="228"/>
      <c r="C35" s="79" t="s">
        <v>40</v>
      </c>
      <c r="D35" s="109">
        <v>7557</v>
      </c>
      <c r="E35" s="109">
        <v>6527</v>
      </c>
      <c r="F35" s="109">
        <v>2221</v>
      </c>
      <c r="G35" s="109">
        <v>2506</v>
      </c>
      <c r="H35" s="109">
        <f t="shared" si="27"/>
        <v>18811</v>
      </c>
      <c r="I35" s="106">
        <v>7141</v>
      </c>
      <c r="J35" s="106">
        <v>0</v>
      </c>
      <c r="K35" s="106">
        <v>6573</v>
      </c>
      <c r="L35" s="106">
        <v>1789</v>
      </c>
      <c r="M35" s="106">
        <v>3772</v>
      </c>
      <c r="N35" s="106">
        <v>100</v>
      </c>
      <c r="O35" s="106">
        <v>3335</v>
      </c>
      <c r="P35" s="106">
        <v>385</v>
      </c>
      <c r="Q35" s="106">
        <f t="shared" si="28"/>
        <v>20821</v>
      </c>
      <c r="R35" s="106">
        <f t="shared" si="29"/>
        <v>2274</v>
      </c>
      <c r="S35" s="106">
        <v>19229</v>
      </c>
      <c r="T35" s="106">
        <v>17394</v>
      </c>
      <c r="U35" s="106">
        <v>15740</v>
      </c>
      <c r="V35" s="106">
        <v>14523</v>
      </c>
      <c r="W35" s="106">
        <v>14523</v>
      </c>
      <c r="X35" s="134">
        <f t="shared" si="4"/>
        <v>0.9449517004102157</v>
      </c>
      <c r="Y35" s="87">
        <f t="shared" si="5"/>
        <v>245.71436073379076</v>
      </c>
      <c r="Z35" s="92">
        <f t="shared" si="0"/>
        <v>1.0070476482304274</v>
      </c>
      <c r="AA35" s="87">
        <f t="shared" si="6"/>
        <v>241.47307165677773</v>
      </c>
      <c r="AB35" s="92">
        <f t="shared" si="7"/>
        <v>1.6983340837460603</v>
      </c>
      <c r="AC35" s="87">
        <f t="shared" si="8"/>
        <v>380.77279957582186</v>
      </c>
      <c r="AD35" s="92">
        <f t="shared" si="9"/>
        <v>1.330806065442937</v>
      </c>
      <c r="AE35" s="87">
        <f t="shared" si="10"/>
        <v>397.36844077961018</v>
      </c>
      <c r="AF35" s="92">
        <f t="shared" si="11"/>
        <v>1.106852373611185</v>
      </c>
      <c r="AG35" s="87">
        <f t="shared" si="12"/>
        <v>254.59367945823925</v>
      </c>
    </row>
    <row r="36" spans="2:37" s="81" customFormat="1" ht="18" customHeight="1">
      <c r="B36" s="228"/>
      <c r="C36" s="79" t="s">
        <v>41</v>
      </c>
      <c r="D36" s="109">
        <v>77</v>
      </c>
      <c r="E36" s="109">
        <v>76</v>
      </c>
      <c r="F36" s="109">
        <v>34</v>
      </c>
      <c r="G36" s="109">
        <v>23</v>
      </c>
      <c r="H36" s="109">
        <f t="shared" si="27"/>
        <v>210</v>
      </c>
      <c r="I36" s="106">
        <v>189</v>
      </c>
      <c r="J36" s="106">
        <v>0</v>
      </c>
      <c r="K36" s="106">
        <v>98</v>
      </c>
      <c r="L36" s="106"/>
      <c r="M36" s="106">
        <v>59</v>
      </c>
      <c r="N36" s="106"/>
      <c r="O36" s="106">
        <v>69</v>
      </c>
      <c r="P36" s="106"/>
      <c r="Q36" s="106">
        <f t="shared" si="28"/>
        <v>415</v>
      </c>
      <c r="R36" s="106">
        <f t="shared" si="29"/>
        <v>0</v>
      </c>
      <c r="S36" s="106">
        <v>193</v>
      </c>
      <c r="T36" s="106">
        <v>171</v>
      </c>
      <c r="U36" s="106">
        <v>145</v>
      </c>
      <c r="V36" s="106">
        <v>98</v>
      </c>
      <c r="W36" s="106">
        <v>98</v>
      </c>
      <c r="X36" s="134">
        <f t="shared" si="4"/>
        <v>2.4545454545454546</v>
      </c>
      <c r="Y36" s="87">
        <f t="shared" si="5"/>
        <v>93.181216931216937</v>
      </c>
      <c r="Z36" s="92">
        <f t="shared" si="0"/>
        <v>1.2894736842105263</v>
      </c>
      <c r="AA36" s="87">
        <f t="shared" si="6"/>
        <v>159.22193877551021</v>
      </c>
      <c r="AB36" s="92">
        <f t="shared" si="7"/>
        <v>1.7352941176470589</v>
      </c>
      <c r="AC36" s="87">
        <f t="shared" si="8"/>
        <v>224.2584745762712</v>
      </c>
      <c r="AD36" s="92">
        <f t="shared" si="9"/>
        <v>3</v>
      </c>
      <c r="AE36" s="87">
        <f t="shared" si="10"/>
        <v>129.60144927536231</v>
      </c>
      <c r="AF36" s="92">
        <f t="shared" si="11"/>
        <v>1.9761904761904763</v>
      </c>
      <c r="AG36" s="87">
        <f t="shared" si="12"/>
        <v>86.192771084337352</v>
      </c>
    </row>
    <row r="37" spans="2:37" s="81" customFormat="1" ht="18" customHeight="1">
      <c r="B37" s="228"/>
      <c r="C37" s="79" t="s">
        <v>42</v>
      </c>
      <c r="D37" s="109">
        <v>603</v>
      </c>
      <c r="E37" s="109">
        <v>518</v>
      </c>
      <c r="F37" s="109">
        <v>417</v>
      </c>
      <c r="G37" s="109">
        <v>508</v>
      </c>
      <c r="H37" s="109">
        <f t="shared" si="27"/>
        <v>2046</v>
      </c>
      <c r="I37" s="106">
        <v>588</v>
      </c>
      <c r="J37" s="106">
        <v>0</v>
      </c>
      <c r="K37" s="106">
        <v>546</v>
      </c>
      <c r="L37" s="106"/>
      <c r="M37" s="106">
        <v>450</v>
      </c>
      <c r="N37" s="106"/>
      <c r="O37" s="106">
        <v>523</v>
      </c>
      <c r="P37" s="106"/>
      <c r="Q37" s="106">
        <f t="shared" si="28"/>
        <v>2107</v>
      </c>
      <c r="R37" s="106">
        <f t="shared" si="29"/>
        <v>0</v>
      </c>
      <c r="S37" s="106">
        <v>155</v>
      </c>
      <c r="T37" s="106">
        <v>127</v>
      </c>
      <c r="U37" s="106">
        <v>87</v>
      </c>
      <c r="V37" s="106">
        <v>72</v>
      </c>
      <c r="W37" s="106">
        <v>72</v>
      </c>
      <c r="X37" s="134">
        <f t="shared" si="4"/>
        <v>0.97512437810945274</v>
      </c>
      <c r="Y37" s="87">
        <f t="shared" si="5"/>
        <v>24.053996598639458</v>
      </c>
      <c r="Z37" s="92">
        <f t="shared" si="0"/>
        <v>1.0540540540540539</v>
      </c>
      <c r="AA37" s="87">
        <f t="shared" si="6"/>
        <v>21.22481684981685</v>
      </c>
      <c r="AB37" s="92">
        <f t="shared" si="7"/>
        <v>1.079136690647482</v>
      </c>
      <c r="AC37" s="87">
        <f t="shared" si="8"/>
        <v>17.641666666666666</v>
      </c>
      <c r="AD37" s="92">
        <f t="shared" si="9"/>
        <v>1.0295275590551181</v>
      </c>
      <c r="AE37" s="87">
        <f t="shared" si="10"/>
        <v>12.562141491395794</v>
      </c>
      <c r="AF37" s="92">
        <f t="shared" si="11"/>
        <v>1.0298142717497556</v>
      </c>
      <c r="AG37" s="87">
        <f t="shared" si="12"/>
        <v>12.472710014238254</v>
      </c>
    </row>
    <row r="38" spans="2:37" s="81" customFormat="1" ht="18" customHeight="1">
      <c r="B38" s="228"/>
      <c r="C38" s="79" t="s">
        <v>22</v>
      </c>
      <c r="D38" s="109">
        <v>12</v>
      </c>
      <c r="E38" s="109">
        <v>19</v>
      </c>
      <c r="F38" s="109">
        <v>7</v>
      </c>
      <c r="G38" s="109">
        <v>16</v>
      </c>
      <c r="H38" s="109">
        <f t="shared" si="27"/>
        <v>54</v>
      </c>
      <c r="I38" s="106">
        <v>24</v>
      </c>
      <c r="J38" s="106">
        <v>0</v>
      </c>
      <c r="K38" s="106">
        <v>12</v>
      </c>
      <c r="L38" s="106"/>
      <c r="M38" s="106">
        <v>13</v>
      </c>
      <c r="N38" s="106"/>
      <c r="O38" s="106">
        <v>9</v>
      </c>
      <c r="P38" s="106"/>
      <c r="Q38" s="106">
        <f t="shared" si="28"/>
        <v>58</v>
      </c>
      <c r="R38" s="106">
        <f t="shared" si="29"/>
        <v>0</v>
      </c>
      <c r="S38" s="106">
        <v>10</v>
      </c>
      <c r="T38" s="106">
        <v>17</v>
      </c>
      <c r="U38" s="106">
        <v>11</v>
      </c>
      <c r="V38" s="106">
        <v>18</v>
      </c>
      <c r="W38" s="106">
        <v>18</v>
      </c>
      <c r="X38" s="134">
        <f t="shared" si="4"/>
        <v>2</v>
      </c>
      <c r="Y38" s="87">
        <f t="shared" si="5"/>
        <v>38.020833333333336</v>
      </c>
      <c r="Z38" s="92">
        <f t="shared" si="0"/>
        <v>0.63157894736842102</v>
      </c>
      <c r="AA38" s="87">
        <f t="shared" si="6"/>
        <v>129.27083333333334</v>
      </c>
      <c r="AB38" s="92">
        <f t="shared" si="7"/>
        <v>1.8571428571428572</v>
      </c>
      <c r="AC38" s="87">
        <f t="shared" si="8"/>
        <v>77.211538461538467</v>
      </c>
      <c r="AD38" s="92">
        <f t="shared" si="9"/>
        <v>0.5625</v>
      </c>
      <c r="AE38" s="87">
        <f t="shared" si="10"/>
        <v>182.5</v>
      </c>
      <c r="AF38" s="92">
        <f t="shared" si="11"/>
        <v>1.0740740740740742</v>
      </c>
      <c r="AG38" s="87">
        <f t="shared" si="12"/>
        <v>113.27586206896552</v>
      </c>
    </row>
    <row r="39" spans="2:37" s="81" customFormat="1" ht="18" customHeight="1">
      <c r="B39" s="228"/>
      <c r="C39" s="79" t="s">
        <v>43</v>
      </c>
      <c r="D39" s="109">
        <v>34651</v>
      </c>
      <c r="E39" s="109">
        <v>38490</v>
      </c>
      <c r="F39" s="109">
        <v>32199</v>
      </c>
      <c r="G39" s="109">
        <v>34922</v>
      </c>
      <c r="H39" s="109">
        <f t="shared" si="27"/>
        <v>140262</v>
      </c>
      <c r="I39" s="106">
        <v>33894</v>
      </c>
      <c r="J39" s="106">
        <v>0</v>
      </c>
      <c r="K39" s="106">
        <v>38963</v>
      </c>
      <c r="L39" s="106"/>
      <c r="M39" s="106">
        <v>32188</v>
      </c>
      <c r="N39" s="106"/>
      <c r="O39" s="106">
        <v>35462</v>
      </c>
      <c r="P39" s="106"/>
      <c r="Q39" s="106">
        <f t="shared" si="28"/>
        <v>140507</v>
      </c>
      <c r="R39" s="106">
        <f t="shared" si="29"/>
        <v>0</v>
      </c>
      <c r="S39" s="106">
        <v>3152</v>
      </c>
      <c r="T39" s="106">
        <v>2679</v>
      </c>
      <c r="U39" s="106">
        <v>2697</v>
      </c>
      <c r="V39" s="106">
        <v>2157</v>
      </c>
      <c r="W39" s="106">
        <v>2157</v>
      </c>
      <c r="X39" s="134">
        <f t="shared" si="4"/>
        <v>0.97815358864102042</v>
      </c>
      <c r="Y39" s="87">
        <f t="shared" si="5"/>
        <v>8.4858677051985598</v>
      </c>
      <c r="Z39" s="92">
        <f t="shared" si="0"/>
        <v>1.0122889062094051</v>
      </c>
      <c r="AA39" s="87">
        <f t="shared" si="6"/>
        <v>6.2741254523522318</v>
      </c>
      <c r="AB39" s="92">
        <f t="shared" si="7"/>
        <v>0.99965837448367967</v>
      </c>
      <c r="AC39" s="87">
        <f t="shared" si="8"/>
        <v>7.6457453088107368</v>
      </c>
      <c r="AD39" s="92">
        <f t="shared" si="9"/>
        <v>1.015463031899662</v>
      </c>
      <c r="AE39" s="87">
        <f t="shared" si="10"/>
        <v>5.5503426202695838</v>
      </c>
      <c r="AF39" s="92">
        <f t="shared" si="11"/>
        <v>1.0017467311174801</v>
      </c>
      <c r="AG39" s="87">
        <f t="shared" si="12"/>
        <v>5.6033151373241195</v>
      </c>
    </row>
    <row r="40" spans="2:37" s="85" customFormat="1" ht="24.95" customHeight="1">
      <c r="B40" s="229"/>
      <c r="C40" s="88" t="s">
        <v>24</v>
      </c>
      <c r="D40" s="89">
        <f t="shared" ref="D40:W40" si="30">SUM(D32:D39)</f>
        <v>49220</v>
      </c>
      <c r="E40" s="89">
        <f t="shared" si="30"/>
        <v>51014</v>
      </c>
      <c r="F40" s="89">
        <f t="shared" si="30"/>
        <v>39429</v>
      </c>
      <c r="G40" s="89">
        <f t="shared" si="30"/>
        <v>42976</v>
      </c>
      <c r="H40" s="89">
        <f t="shared" si="30"/>
        <v>182639</v>
      </c>
      <c r="I40" s="89">
        <f t="shared" si="30"/>
        <v>49466</v>
      </c>
      <c r="J40" s="89">
        <f t="shared" si="30"/>
        <v>0</v>
      </c>
      <c r="K40" s="89">
        <f t="shared" si="30"/>
        <v>52048</v>
      </c>
      <c r="L40" s="89">
        <f t="shared" si="30"/>
        <v>1789</v>
      </c>
      <c r="M40" s="89">
        <f>SUM(M32:M39)</f>
        <v>39747</v>
      </c>
      <c r="N40" s="89">
        <f t="shared" si="30"/>
        <v>100</v>
      </c>
      <c r="O40" s="89">
        <f t="shared" si="30"/>
        <v>44515</v>
      </c>
      <c r="P40" s="89">
        <f t="shared" si="30"/>
        <v>385</v>
      </c>
      <c r="Q40" s="89">
        <f t="shared" si="30"/>
        <v>185776</v>
      </c>
      <c r="R40" s="89">
        <f t="shared" si="30"/>
        <v>2274</v>
      </c>
      <c r="S40" s="89">
        <f t="shared" si="30"/>
        <v>43877</v>
      </c>
      <c r="T40" s="89">
        <f t="shared" si="30"/>
        <v>41055</v>
      </c>
      <c r="U40" s="89">
        <f t="shared" si="30"/>
        <v>40630</v>
      </c>
      <c r="V40" s="89">
        <f t="shared" si="30"/>
        <v>38694</v>
      </c>
      <c r="W40" s="124">
        <f t="shared" si="30"/>
        <v>38694</v>
      </c>
      <c r="X40" s="136">
        <f t="shared" si="4"/>
        <v>1.0049979683055668</v>
      </c>
      <c r="Y40" s="89">
        <f t="shared" si="5"/>
        <v>80.939963813528479</v>
      </c>
      <c r="Z40" s="94">
        <f t="shared" si="0"/>
        <v>1.0202689457795899</v>
      </c>
      <c r="AA40" s="89">
        <f t="shared" si="6"/>
        <v>71.977189325238243</v>
      </c>
      <c r="AB40" s="94">
        <f t="shared" si="7"/>
        <v>1.0080651297268508</v>
      </c>
      <c r="AC40" s="89">
        <f t="shared" si="8"/>
        <v>93.277165572244442</v>
      </c>
      <c r="AD40" s="94">
        <f t="shared" si="9"/>
        <v>1.0358106850335072</v>
      </c>
      <c r="AE40" s="89">
        <f t="shared" si="10"/>
        <v>79.31770189823655</v>
      </c>
      <c r="AF40" s="94">
        <f t="shared" si="11"/>
        <v>1.0171759591324963</v>
      </c>
      <c r="AG40" s="89">
        <f t="shared" si="12"/>
        <v>76.023329170614076</v>
      </c>
    </row>
    <row r="41" spans="2:37" s="81" customFormat="1" ht="18" customHeight="1">
      <c r="B41" s="196" t="s">
        <v>44</v>
      </c>
      <c r="C41" s="79" t="s">
        <v>45</v>
      </c>
      <c r="D41" s="109">
        <v>590</v>
      </c>
      <c r="E41" s="109">
        <v>616</v>
      </c>
      <c r="F41" s="109">
        <v>496</v>
      </c>
      <c r="G41" s="109">
        <v>598</v>
      </c>
      <c r="H41" s="109">
        <f t="shared" ref="H41:H44" si="31">SUM(D41:G41)</f>
        <v>2300</v>
      </c>
      <c r="I41" s="106">
        <v>695</v>
      </c>
      <c r="J41" s="106"/>
      <c r="K41" s="106">
        <v>748</v>
      </c>
      <c r="L41" s="106"/>
      <c r="M41" s="106">
        <v>580</v>
      </c>
      <c r="N41" s="106"/>
      <c r="O41" s="106">
        <v>654</v>
      </c>
      <c r="P41" s="106"/>
      <c r="Q41" s="106">
        <f t="shared" ref="Q41:Q44" si="32">I41+K41+M41+O41</f>
        <v>2677</v>
      </c>
      <c r="R41" s="106">
        <f t="shared" ref="R41:R44" si="33">J41+L41+N41+P41</f>
        <v>0</v>
      </c>
      <c r="S41" s="105">
        <v>2877</v>
      </c>
      <c r="T41" s="105">
        <v>2745</v>
      </c>
      <c r="U41" s="105">
        <v>2661</v>
      </c>
      <c r="V41" s="105">
        <v>2605</v>
      </c>
      <c r="W41" s="105">
        <v>2605</v>
      </c>
      <c r="X41" s="134">
        <f t="shared" si="4"/>
        <v>1.1779661016949152</v>
      </c>
      <c r="Y41" s="87">
        <f t="shared" si="5"/>
        <v>377.73561151079133</v>
      </c>
      <c r="Z41" s="92">
        <f t="shared" si="0"/>
        <v>1.2142857142857142</v>
      </c>
      <c r="AA41" s="87">
        <f t="shared" si="6"/>
        <v>334.86798128342247</v>
      </c>
      <c r="AB41" s="92">
        <f t="shared" si="7"/>
        <v>1.1693548387096775</v>
      </c>
      <c r="AC41" s="87">
        <f t="shared" si="8"/>
        <v>418.64870689655169</v>
      </c>
      <c r="AD41" s="92">
        <f t="shared" si="9"/>
        <v>1.0936454849498327</v>
      </c>
      <c r="AE41" s="87">
        <f t="shared" si="10"/>
        <v>363.46521406727828</v>
      </c>
      <c r="AF41" s="92">
        <f t="shared" si="11"/>
        <v>1.163913043478261</v>
      </c>
      <c r="AG41" s="87">
        <f t="shared" si="12"/>
        <v>355.18304071722076</v>
      </c>
    </row>
    <row r="42" spans="2:37" s="81" customFormat="1" ht="18" customHeight="1">
      <c r="B42" s="196"/>
      <c r="C42" s="79" t="s">
        <v>46</v>
      </c>
      <c r="D42" s="109">
        <v>490</v>
      </c>
      <c r="E42" s="109">
        <v>947</v>
      </c>
      <c r="F42" s="109">
        <v>448</v>
      </c>
      <c r="G42" s="109">
        <v>317</v>
      </c>
      <c r="H42" s="109">
        <f t="shared" si="31"/>
        <v>2202</v>
      </c>
      <c r="I42" s="106">
        <v>590</v>
      </c>
      <c r="J42" s="106"/>
      <c r="K42" s="106">
        <v>592</v>
      </c>
      <c r="L42" s="106"/>
      <c r="M42" s="106">
        <v>425</v>
      </c>
      <c r="N42" s="106"/>
      <c r="O42" s="106">
        <v>420</v>
      </c>
      <c r="P42" s="106"/>
      <c r="Q42" s="106">
        <f t="shared" si="32"/>
        <v>2027</v>
      </c>
      <c r="R42" s="106">
        <f t="shared" si="33"/>
        <v>0</v>
      </c>
      <c r="S42" s="105">
        <v>656</v>
      </c>
      <c r="T42" s="105">
        <v>1011</v>
      </c>
      <c r="U42" s="105">
        <v>1034</v>
      </c>
      <c r="V42" s="105">
        <v>931</v>
      </c>
      <c r="W42" s="105">
        <v>931</v>
      </c>
      <c r="X42" s="134">
        <f t="shared" si="4"/>
        <v>1.2040816326530612</v>
      </c>
      <c r="Y42" s="87">
        <f t="shared" si="5"/>
        <v>101.45762711864407</v>
      </c>
      <c r="Z42" s="92">
        <f t="shared" si="0"/>
        <v>0.62513199577613521</v>
      </c>
      <c r="AA42" s="87">
        <f t="shared" si="6"/>
        <v>155.83403716216216</v>
      </c>
      <c r="AB42" s="92">
        <f t="shared" si="7"/>
        <v>0.9486607142857143</v>
      </c>
      <c r="AC42" s="87">
        <f t="shared" si="8"/>
        <v>222.0058823529412</v>
      </c>
      <c r="AD42" s="92">
        <f t="shared" si="9"/>
        <v>1.3249211356466877</v>
      </c>
      <c r="AE42" s="87">
        <f t="shared" si="10"/>
        <v>202.27083333333334</v>
      </c>
      <c r="AF42" s="92">
        <f t="shared" si="11"/>
        <v>0.92052679382379654</v>
      </c>
      <c r="AG42" s="87">
        <f t="shared" si="12"/>
        <v>167.64430192402565</v>
      </c>
      <c r="AK42" s="95"/>
    </row>
    <row r="43" spans="2:37" s="81" customFormat="1" ht="18" customHeight="1">
      <c r="B43" s="196"/>
      <c r="C43" s="79" t="s">
        <v>47</v>
      </c>
      <c r="D43" s="109">
        <v>1219</v>
      </c>
      <c r="E43" s="109">
        <v>1519</v>
      </c>
      <c r="F43" s="109">
        <v>1114</v>
      </c>
      <c r="G43" s="109">
        <v>1306</v>
      </c>
      <c r="H43" s="109">
        <f t="shared" si="31"/>
        <v>5158</v>
      </c>
      <c r="I43" s="106">
        <v>1757</v>
      </c>
      <c r="J43" s="106"/>
      <c r="K43" s="106">
        <v>1974</v>
      </c>
      <c r="L43" s="106"/>
      <c r="M43" s="106">
        <v>1306</v>
      </c>
      <c r="N43" s="106"/>
      <c r="O43" s="106">
        <v>1802</v>
      </c>
      <c r="P43" s="106"/>
      <c r="Q43" s="106">
        <f t="shared" si="32"/>
        <v>6839</v>
      </c>
      <c r="R43" s="106">
        <f t="shared" si="33"/>
        <v>0</v>
      </c>
      <c r="S43" s="105">
        <v>4301</v>
      </c>
      <c r="T43" s="105">
        <v>3847</v>
      </c>
      <c r="U43" s="105">
        <v>3655</v>
      </c>
      <c r="V43" s="105">
        <v>3159</v>
      </c>
      <c r="W43" s="105">
        <v>3159</v>
      </c>
      <c r="X43" s="134">
        <f t="shared" si="4"/>
        <v>1.4413453650533223</v>
      </c>
      <c r="Y43" s="87">
        <f t="shared" si="5"/>
        <v>223.37293682413204</v>
      </c>
      <c r="Z43" s="92">
        <f t="shared" si="0"/>
        <v>1.2995391705069124</v>
      </c>
      <c r="AA43" s="87">
        <f t="shared" si="6"/>
        <v>177.83118034447821</v>
      </c>
      <c r="AB43" s="92">
        <f t="shared" si="7"/>
        <v>1.1723518850987433</v>
      </c>
      <c r="AC43" s="87">
        <f t="shared" si="8"/>
        <v>255.3742343032159</v>
      </c>
      <c r="AD43" s="92">
        <f t="shared" si="9"/>
        <v>1.3797856049004593</v>
      </c>
      <c r="AE43" s="87">
        <f t="shared" si="10"/>
        <v>159.96600998890122</v>
      </c>
      <c r="AF43" s="92">
        <f t="shared" si="11"/>
        <v>1.3259015122140365</v>
      </c>
      <c r="AG43" s="87">
        <f t="shared" si="12"/>
        <v>168.59701710776429</v>
      </c>
    </row>
    <row r="44" spans="2:37" s="81" customFormat="1" ht="18" customHeight="1">
      <c r="B44" s="196"/>
      <c r="C44" s="79" t="s">
        <v>48</v>
      </c>
      <c r="D44" s="109">
        <v>1243</v>
      </c>
      <c r="E44" s="109">
        <v>1346</v>
      </c>
      <c r="F44" s="109">
        <v>993</v>
      </c>
      <c r="G44" s="109">
        <v>1097</v>
      </c>
      <c r="H44" s="109">
        <f t="shared" si="31"/>
        <v>4679</v>
      </c>
      <c r="I44" s="106">
        <v>1270</v>
      </c>
      <c r="J44" s="106"/>
      <c r="K44" s="106">
        <v>1237</v>
      </c>
      <c r="L44" s="106"/>
      <c r="M44" s="106">
        <v>760</v>
      </c>
      <c r="N44" s="106"/>
      <c r="O44" s="106">
        <v>862</v>
      </c>
      <c r="P44" s="106"/>
      <c r="Q44" s="106">
        <f t="shared" si="32"/>
        <v>4129</v>
      </c>
      <c r="R44" s="106">
        <f t="shared" si="33"/>
        <v>0</v>
      </c>
      <c r="S44" s="105">
        <v>6420</v>
      </c>
      <c r="T44" s="105">
        <v>6530</v>
      </c>
      <c r="U44" s="105">
        <v>6763</v>
      </c>
      <c r="V44" s="105">
        <v>6998</v>
      </c>
      <c r="W44" s="105">
        <v>6998</v>
      </c>
      <c r="X44" s="134">
        <f t="shared" si="4"/>
        <v>1.0217216411906678</v>
      </c>
      <c r="Y44" s="87">
        <f t="shared" si="5"/>
        <v>461.27952755905511</v>
      </c>
      <c r="Z44" s="92">
        <f t="shared" si="0"/>
        <v>0.91901931649331348</v>
      </c>
      <c r="AA44" s="87">
        <f t="shared" si="6"/>
        <v>481.69967663702511</v>
      </c>
      <c r="AB44" s="92">
        <f t="shared" si="7"/>
        <v>0.76535750251762336</v>
      </c>
      <c r="AC44" s="87">
        <f t="shared" si="8"/>
        <v>812.00493421052636</v>
      </c>
      <c r="AD44" s="92">
        <f t="shared" si="9"/>
        <v>0.78577939835916133</v>
      </c>
      <c r="AE44" s="87">
        <f t="shared" si="10"/>
        <v>740.79756380510446</v>
      </c>
      <c r="AF44" s="92">
        <f t="shared" si="11"/>
        <v>0.88245351570848474</v>
      </c>
      <c r="AG44" s="87">
        <f t="shared" si="12"/>
        <v>618.61709857108258</v>
      </c>
    </row>
    <row r="45" spans="2:37" s="85" customFormat="1" ht="24.95" customHeight="1">
      <c r="B45" s="196"/>
      <c r="C45" s="88" t="s">
        <v>24</v>
      </c>
      <c r="D45" s="89">
        <f t="shared" ref="D45:W45" si="34">SUM(D41:D44)</f>
        <v>3542</v>
      </c>
      <c r="E45" s="89">
        <f t="shared" si="34"/>
        <v>4428</v>
      </c>
      <c r="F45" s="89">
        <f t="shared" si="34"/>
        <v>3051</v>
      </c>
      <c r="G45" s="89">
        <f t="shared" si="34"/>
        <v>3318</v>
      </c>
      <c r="H45" s="89">
        <f t="shared" si="34"/>
        <v>14339</v>
      </c>
      <c r="I45" s="89">
        <f t="shared" si="34"/>
        <v>4312</v>
      </c>
      <c r="J45" s="89">
        <f t="shared" si="34"/>
        <v>0</v>
      </c>
      <c r="K45" s="89">
        <f t="shared" si="34"/>
        <v>4551</v>
      </c>
      <c r="L45" s="89">
        <f t="shared" si="34"/>
        <v>0</v>
      </c>
      <c r="M45" s="89">
        <f t="shared" si="34"/>
        <v>3071</v>
      </c>
      <c r="N45" s="89">
        <f t="shared" si="34"/>
        <v>0</v>
      </c>
      <c r="O45" s="89">
        <f t="shared" si="34"/>
        <v>3738</v>
      </c>
      <c r="P45" s="89">
        <f t="shared" si="34"/>
        <v>0</v>
      </c>
      <c r="Q45" s="89">
        <f t="shared" si="34"/>
        <v>15672</v>
      </c>
      <c r="R45" s="89">
        <f t="shared" si="34"/>
        <v>0</v>
      </c>
      <c r="S45" s="89">
        <f t="shared" si="34"/>
        <v>14254</v>
      </c>
      <c r="T45" s="89">
        <f t="shared" si="34"/>
        <v>14133</v>
      </c>
      <c r="U45" s="89">
        <f t="shared" si="34"/>
        <v>14113</v>
      </c>
      <c r="V45" s="89">
        <f t="shared" si="34"/>
        <v>13693</v>
      </c>
      <c r="W45" s="124">
        <f t="shared" si="34"/>
        <v>13693</v>
      </c>
      <c r="X45" s="136">
        <f t="shared" si="4"/>
        <v>1.2173913043478262</v>
      </c>
      <c r="Y45" s="89">
        <f t="shared" si="5"/>
        <v>301.64134972170683</v>
      </c>
      <c r="Z45" s="94">
        <f t="shared" si="0"/>
        <v>1.0277777777777777</v>
      </c>
      <c r="AA45" s="89">
        <f t="shared" si="6"/>
        <v>283.37425840474623</v>
      </c>
      <c r="AB45" s="94">
        <f t="shared" si="7"/>
        <v>1.0065552277941658</v>
      </c>
      <c r="AC45" s="89">
        <f t="shared" si="8"/>
        <v>419.34589710192125</v>
      </c>
      <c r="AD45" s="94">
        <f t="shared" si="9"/>
        <v>1.1265822784810127</v>
      </c>
      <c r="AE45" s="89">
        <f t="shared" si="10"/>
        <v>334.26598448368111</v>
      </c>
      <c r="AF45" s="94">
        <f t="shared" si="11"/>
        <v>1.0929632470883603</v>
      </c>
      <c r="AG45" s="89">
        <f t="shared" si="12"/>
        <v>318.90920112302194</v>
      </c>
    </row>
    <row r="46" spans="2:37" s="97" customFormat="1" ht="24.95" customHeight="1">
      <c r="B46" s="96" t="s">
        <v>49</v>
      </c>
      <c r="C46" s="88" t="s">
        <v>24</v>
      </c>
      <c r="D46" s="112">
        <v>2460</v>
      </c>
      <c r="E46" s="112">
        <v>2335</v>
      </c>
      <c r="F46" s="112">
        <v>1998</v>
      </c>
      <c r="G46" s="112">
        <v>1907</v>
      </c>
      <c r="H46" s="112">
        <f t="shared" ref="H46:H49" si="35">SUM(D46:G46)</f>
        <v>8700</v>
      </c>
      <c r="I46" s="112">
        <v>3828</v>
      </c>
      <c r="J46" s="112"/>
      <c r="K46" s="112">
        <v>2891</v>
      </c>
      <c r="L46" s="112"/>
      <c r="M46" s="112">
        <v>2381</v>
      </c>
      <c r="N46" s="112"/>
      <c r="O46" s="112">
        <v>3641</v>
      </c>
      <c r="P46" s="112"/>
      <c r="Q46" s="112">
        <f t="shared" ref="Q46:Q49" si="36">I46+K46+M46+O46</f>
        <v>12741</v>
      </c>
      <c r="R46" s="112">
        <f t="shared" ref="R46:R49" si="37">J46+L46+N46+P46</f>
        <v>0</v>
      </c>
      <c r="S46" s="113">
        <v>18856</v>
      </c>
      <c r="T46" s="113">
        <v>18300</v>
      </c>
      <c r="U46" s="113">
        <v>17923</v>
      </c>
      <c r="V46" s="113">
        <v>16194</v>
      </c>
      <c r="W46" s="113">
        <v>16194</v>
      </c>
      <c r="X46" s="136">
        <f t="shared" si="4"/>
        <v>1.5560975609756098</v>
      </c>
      <c r="Y46" s="89">
        <f t="shared" si="5"/>
        <v>449.48014629049106</v>
      </c>
      <c r="Z46" s="94">
        <f t="shared" si="0"/>
        <v>1.2381156316916488</v>
      </c>
      <c r="AA46" s="89">
        <f t="shared" si="6"/>
        <v>577.61155309581466</v>
      </c>
      <c r="AB46" s="94">
        <f t="shared" si="7"/>
        <v>1.1916916916916918</v>
      </c>
      <c r="AC46" s="89">
        <f t="shared" si="8"/>
        <v>686.88523729525411</v>
      </c>
      <c r="AD46" s="94">
        <f t="shared" si="9"/>
        <v>1.9092815941269008</v>
      </c>
      <c r="AE46" s="89">
        <f t="shared" si="10"/>
        <v>405.85072782202695</v>
      </c>
      <c r="AF46" s="94">
        <f t="shared" si="11"/>
        <v>1.4644827586206897</v>
      </c>
      <c r="AG46" s="89">
        <f t="shared" si="12"/>
        <v>463.92041441017193</v>
      </c>
    </row>
    <row r="47" spans="2:37" s="97" customFormat="1" ht="24.95" customHeight="1">
      <c r="B47" s="96" t="s">
        <v>50</v>
      </c>
      <c r="C47" s="88" t="s">
        <v>24</v>
      </c>
      <c r="D47" s="112">
        <v>1270</v>
      </c>
      <c r="E47" s="112">
        <v>1506</v>
      </c>
      <c r="F47" s="112">
        <v>1145</v>
      </c>
      <c r="G47" s="112">
        <v>1096</v>
      </c>
      <c r="H47" s="112">
        <f t="shared" si="35"/>
        <v>5017</v>
      </c>
      <c r="I47" s="112">
        <v>1226</v>
      </c>
      <c r="J47" s="112"/>
      <c r="K47" s="112">
        <v>1141</v>
      </c>
      <c r="L47" s="112"/>
      <c r="M47" s="112">
        <v>909</v>
      </c>
      <c r="N47" s="112"/>
      <c r="O47" s="112">
        <v>1051</v>
      </c>
      <c r="P47" s="112"/>
      <c r="Q47" s="112">
        <f t="shared" si="36"/>
        <v>4327</v>
      </c>
      <c r="R47" s="112">
        <f t="shared" si="37"/>
        <v>0</v>
      </c>
      <c r="S47" s="113">
        <v>766</v>
      </c>
      <c r="T47" s="113">
        <v>1131</v>
      </c>
      <c r="U47" s="113">
        <v>1367</v>
      </c>
      <c r="V47" s="113">
        <v>1412</v>
      </c>
      <c r="W47" s="113">
        <v>1412</v>
      </c>
      <c r="X47" s="136">
        <f t="shared" si="4"/>
        <v>0.96535433070866139</v>
      </c>
      <c r="Y47" s="89">
        <f t="shared" si="5"/>
        <v>57.012642740619903</v>
      </c>
      <c r="Z47" s="94">
        <f t="shared" si="0"/>
        <v>0.75763612217795484</v>
      </c>
      <c r="AA47" s="89">
        <f t="shared" si="6"/>
        <v>90.450262927256787</v>
      </c>
      <c r="AB47" s="94">
        <f t="shared" si="7"/>
        <v>0.79388646288209608</v>
      </c>
      <c r="AC47" s="89">
        <f t="shared" si="8"/>
        <v>137.22634763476347</v>
      </c>
      <c r="AD47" s="94">
        <f t="shared" si="9"/>
        <v>0.95894160583941601</v>
      </c>
      <c r="AE47" s="89">
        <f t="shared" si="10"/>
        <v>122.59276879162702</v>
      </c>
      <c r="AF47" s="94">
        <f t="shared" si="11"/>
        <v>0.86246761012557305</v>
      </c>
      <c r="AG47" s="89">
        <f t="shared" si="12"/>
        <v>119.10792697018719</v>
      </c>
    </row>
    <row r="48" spans="2:37" s="98" customFormat="1" ht="18" customHeight="1">
      <c r="B48" s="197" t="s">
        <v>51</v>
      </c>
      <c r="C48" s="86" t="s">
        <v>52</v>
      </c>
      <c r="D48" s="109">
        <v>2237</v>
      </c>
      <c r="E48" s="109">
        <v>2183</v>
      </c>
      <c r="F48" s="109">
        <v>1713</v>
      </c>
      <c r="G48" s="109">
        <v>1831</v>
      </c>
      <c r="H48" s="109">
        <f t="shared" si="35"/>
        <v>7964</v>
      </c>
      <c r="I48" s="109">
        <v>2221</v>
      </c>
      <c r="J48" s="109"/>
      <c r="K48" s="109">
        <v>2746</v>
      </c>
      <c r="L48" s="109"/>
      <c r="M48" s="109">
        <v>1595</v>
      </c>
      <c r="N48" s="109"/>
      <c r="O48" s="109">
        <v>2507</v>
      </c>
      <c r="P48" s="109"/>
      <c r="Q48" s="109">
        <f t="shared" si="36"/>
        <v>9069</v>
      </c>
      <c r="R48" s="109">
        <f t="shared" si="37"/>
        <v>0</v>
      </c>
      <c r="S48" s="105">
        <v>17659</v>
      </c>
      <c r="T48" s="105">
        <v>17096</v>
      </c>
      <c r="U48" s="105">
        <v>17214</v>
      </c>
      <c r="V48" s="105">
        <v>16538</v>
      </c>
      <c r="W48" s="105">
        <v>16538</v>
      </c>
      <c r="X48" s="134">
        <f t="shared" si="4"/>
        <v>0.99284756370138583</v>
      </c>
      <c r="Y48" s="87">
        <f t="shared" si="5"/>
        <v>725.52172444844666</v>
      </c>
      <c r="Z48" s="92">
        <f t="shared" si="0"/>
        <v>1.2579019697663765</v>
      </c>
      <c r="AA48" s="87">
        <f t="shared" si="6"/>
        <v>568.10269482884189</v>
      </c>
      <c r="AB48" s="92">
        <f t="shared" si="7"/>
        <v>0.93111500291885585</v>
      </c>
      <c r="AC48" s="87">
        <f t="shared" si="8"/>
        <v>984.81347962382438</v>
      </c>
      <c r="AD48" s="92">
        <f t="shared" si="9"/>
        <v>1.369197160021846</v>
      </c>
      <c r="AE48" s="87">
        <f t="shared" si="10"/>
        <v>601.95153570003993</v>
      </c>
      <c r="AF48" s="92">
        <f t="shared" si="11"/>
        <v>1.1387493721747866</v>
      </c>
      <c r="AG48" s="87">
        <f t="shared" si="12"/>
        <v>665.60480758628296</v>
      </c>
    </row>
    <row r="49" spans="2:33" s="98" customFormat="1" ht="18" customHeight="1">
      <c r="B49" s="197"/>
      <c r="C49" s="86" t="s">
        <v>53</v>
      </c>
      <c r="D49" s="109">
        <v>525</v>
      </c>
      <c r="E49" s="109">
        <v>523</v>
      </c>
      <c r="F49" s="109">
        <v>437</v>
      </c>
      <c r="G49" s="109">
        <v>502</v>
      </c>
      <c r="H49" s="109">
        <f t="shared" si="35"/>
        <v>1987</v>
      </c>
      <c r="I49" s="109">
        <v>515</v>
      </c>
      <c r="J49" s="109"/>
      <c r="K49" s="109">
        <v>485</v>
      </c>
      <c r="L49" s="114"/>
      <c r="M49" s="109">
        <v>444</v>
      </c>
      <c r="N49" s="109"/>
      <c r="O49" s="109">
        <v>561</v>
      </c>
      <c r="P49" s="109"/>
      <c r="Q49" s="109">
        <f t="shared" si="36"/>
        <v>2005</v>
      </c>
      <c r="R49" s="109">
        <f t="shared" si="37"/>
        <v>0</v>
      </c>
      <c r="S49" s="105">
        <v>594</v>
      </c>
      <c r="T49" s="105">
        <v>632</v>
      </c>
      <c r="U49" s="110">
        <v>625</v>
      </c>
      <c r="V49" s="105">
        <v>566</v>
      </c>
      <c r="W49" s="105">
        <v>566</v>
      </c>
      <c r="X49" s="134">
        <f t="shared" si="4"/>
        <v>0.98095238095238091</v>
      </c>
      <c r="Y49" s="87">
        <f t="shared" si="5"/>
        <v>105.24757281553399</v>
      </c>
      <c r="Z49" s="92">
        <f t="shared" si="0"/>
        <v>0.92734225621414912</v>
      </c>
      <c r="AA49" s="87">
        <f t="shared" si="6"/>
        <v>118.90721649484536</v>
      </c>
      <c r="AB49" s="92">
        <f t="shared" si="7"/>
        <v>1.0160183066361557</v>
      </c>
      <c r="AC49" s="87">
        <f t="shared" si="8"/>
        <v>128.44876126126127</v>
      </c>
      <c r="AD49" s="92">
        <f t="shared" si="9"/>
        <v>1.1175298804780875</v>
      </c>
      <c r="AE49" s="87">
        <f t="shared" si="10"/>
        <v>92.063279857397518</v>
      </c>
      <c r="AF49" s="92">
        <f t="shared" si="11"/>
        <v>1.0090588827377958</v>
      </c>
      <c r="AG49" s="87">
        <f t="shared" si="12"/>
        <v>103.03740648379052</v>
      </c>
    </row>
    <row r="50" spans="2:33" s="97" customFormat="1" ht="24.95" customHeight="1">
      <c r="B50" s="197"/>
      <c r="C50" s="88" t="s">
        <v>24</v>
      </c>
      <c r="D50" s="89">
        <f>SUM(D48:D49)</f>
        <v>2762</v>
      </c>
      <c r="E50" s="89">
        <f t="shared" ref="E50:W50" si="38">SUM(E48:E49)</f>
        <v>2706</v>
      </c>
      <c r="F50" s="89">
        <f t="shared" si="38"/>
        <v>2150</v>
      </c>
      <c r="G50" s="89">
        <f t="shared" si="38"/>
        <v>2333</v>
      </c>
      <c r="H50" s="89">
        <f t="shared" si="38"/>
        <v>9951</v>
      </c>
      <c r="I50" s="89">
        <f t="shared" si="38"/>
        <v>2736</v>
      </c>
      <c r="J50" s="89">
        <f t="shared" si="38"/>
        <v>0</v>
      </c>
      <c r="K50" s="89">
        <f t="shared" si="38"/>
        <v>3231</v>
      </c>
      <c r="L50" s="89">
        <f t="shared" si="38"/>
        <v>0</v>
      </c>
      <c r="M50" s="89">
        <f t="shared" si="38"/>
        <v>2039</v>
      </c>
      <c r="N50" s="89">
        <f t="shared" si="38"/>
        <v>0</v>
      </c>
      <c r="O50" s="89">
        <f t="shared" si="38"/>
        <v>3068</v>
      </c>
      <c r="P50" s="89">
        <f t="shared" si="38"/>
        <v>0</v>
      </c>
      <c r="Q50" s="89">
        <f t="shared" si="38"/>
        <v>11074</v>
      </c>
      <c r="R50" s="89">
        <f t="shared" si="38"/>
        <v>0</v>
      </c>
      <c r="S50" s="89">
        <f t="shared" si="38"/>
        <v>18253</v>
      </c>
      <c r="T50" s="89">
        <f t="shared" si="38"/>
        <v>17728</v>
      </c>
      <c r="U50" s="89">
        <f t="shared" si="38"/>
        <v>17839</v>
      </c>
      <c r="V50" s="89">
        <f t="shared" si="38"/>
        <v>17104</v>
      </c>
      <c r="W50" s="124">
        <f t="shared" si="38"/>
        <v>17104</v>
      </c>
      <c r="X50" s="136">
        <f t="shared" si="4"/>
        <v>0.99058653149891385</v>
      </c>
      <c r="Y50" s="89">
        <f t="shared" si="5"/>
        <v>608.76690423976618</v>
      </c>
      <c r="Z50" s="94">
        <f t="shared" si="0"/>
        <v>1.1940133037694014</v>
      </c>
      <c r="AA50" s="89">
        <f t="shared" si="6"/>
        <v>500.6747137109254</v>
      </c>
      <c r="AB50" s="94">
        <f t="shared" si="7"/>
        <v>0.94837209302325587</v>
      </c>
      <c r="AC50" s="89">
        <f t="shared" si="8"/>
        <v>798.33680725846</v>
      </c>
      <c r="AD50" s="94">
        <f t="shared" si="9"/>
        <v>1.3150450064294898</v>
      </c>
      <c r="AE50" s="89">
        <f t="shared" si="10"/>
        <v>508.71577574967409</v>
      </c>
      <c r="AF50" s="94">
        <f>IFERROR(Q50/H50,0)</f>
        <v>1.1128529796000401</v>
      </c>
      <c r="AG50" s="89">
        <f>IFERROR((W50/Q50)*365,0)</f>
        <v>563.74932273794468</v>
      </c>
    </row>
    <row r="51" spans="2:33" s="98" customFormat="1" ht="18" customHeight="1">
      <c r="B51" s="196" t="s">
        <v>54</v>
      </c>
      <c r="C51" s="160" t="s">
        <v>55</v>
      </c>
      <c r="D51" s="154"/>
      <c r="E51" s="154"/>
      <c r="F51" s="154"/>
      <c r="G51" s="154"/>
      <c r="H51" s="154"/>
      <c r="I51" s="154"/>
      <c r="J51" s="154"/>
      <c r="K51" s="154"/>
      <c r="L51" s="154"/>
      <c r="M51" s="154"/>
      <c r="N51" s="154"/>
      <c r="O51" s="154"/>
      <c r="P51" s="154"/>
      <c r="Q51" s="154"/>
      <c r="R51" s="154"/>
      <c r="S51" s="155"/>
      <c r="T51" s="155"/>
      <c r="U51" s="155"/>
      <c r="V51" s="155"/>
      <c r="W51" s="156"/>
      <c r="X51" s="161">
        <f t="shared" si="4"/>
        <v>0</v>
      </c>
      <c r="Y51" s="162">
        <f t="shared" si="5"/>
        <v>0</v>
      </c>
      <c r="Z51" s="163">
        <f t="shared" si="0"/>
        <v>0</v>
      </c>
      <c r="AA51" s="162">
        <f t="shared" si="6"/>
        <v>0</v>
      </c>
      <c r="AB51" s="163">
        <f t="shared" si="7"/>
        <v>0</v>
      </c>
      <c r="AC51" s="162">
        <f t="shared" si="8"/>
        <v>0</v>
      </c>
      <c r="AD51" s="163">
        <f t="shared" si="9"/>
        <v>0</v>
      </c>
      <c r="AE51" s="162">
        <f t="shared" si="10"/>
        <v>0</v>
      </c>
      <c r="AF51" s="163">
        <f t="shared" si="11"/>
        <v>0</v>
      </c>
      <c r="AG51" s="162">
        <f t="shared" si="12"/>
        <v>0</v>
      </c>
    </row>
    <row r="52" spans="2:33" s="98" customFormat="1" ht="18" customHeight="1">
      <c r="B52" s="196"/>
      <c r="C52" s="160" t="s">
        <v>56</v>
      </c>
      <c r="D52" s="154"/>
      <c r="E52" s="154"/>
      <c r="F52" s="154"/>
      <c r="G52" s="154"/>
      <c r="H52" s="154"/>
      <c r="I52" s="154"/>
      <c r="J52" s="154"/>
      <c r="K52" s="154"/>
      <c r="L52" s="154"/>
      <c r="M52" s="154"/>
      <c r="N52" s="154"/>
      <c r="O52" s="154"/>
      <c r="P52" s="154"/>
      <c r="Q52" s="154"/>
      <c r="R52" s="154"/>
      <c r="S52" s="155"/>
      <c r="T52" s="155"/>
      <c r="U52" s="155"/>
      <c r="V52" s="155"/>
      <c r="W52" s="156"/>
      <c r="X52" s="161">
        <f t="shared" si="4"/>
        <v>0</v>
      </c>
      <c r="Y52" s="162">
        <f t="shared" si="5"/>
        <v>0</v>
      </c>
      <c r="Z52" s="163">
        <f t="shared" si="0"/>
        <v>0</v>
      </c>
      <c r="AA52" s="162">
        <f t="shared" si="6"/>
        <v>0</v>
      </c>
      <c r="AB52" s="163">
        <f t="shared" si="7"/>
        <v>0</v>
      </c>
      <c r="AC52" s="162">
        <f t="shared" si="8"/>
        <v>0</v>
      </c>
      <c r="AD52" s="163">
        <f t="shared" si="9"/>
        <v>0</v>
      </c>
      <c r="AE52" s="162">
        <f t="shared" si="10"/>
        <v>0</v>
      </c>
      <c r="AF52" s="163">
        <f t="shared" si="11"/>
        <v>0</v>
      </c>
      <c r="AG52" s="162">
        <f t="shared" si="12"/>
        <v>0</v>
      </c>
    </row>
    <row r="53" spans="2:33" s="98" customFormat="1" ht="18" customHeight="1">
      <c r="B53" s="196"/>
      <c r="C53" s="160" t="s">
        <v>57</v>
      </c>
      <c r="D53" s="154"/>
      <c r="E53" s="154"/>
      <c r="F53" s="154"/>
      <c r="G53" s="154"/>
      <c r="H53" s="154"/>
      <c r="I53" s="154"/>
      <c r="J53" s="154"/>
      <c r="K53" s="154"/>
      <c r="L53" s="154"/>
      <c r="M53" s="154"/>
      <c r="N53" s="154"/>
      <c r="O53" s="154"/>
      <c r="P53" s="154"/>
      <c r="Q53" s="154"/>
      <c r="R53" s="154"/>
      <c r="S53" s="155"/>
      <c r="T53" s="155"/>
      <c r="U53" s="155"/>
      <c r="V53" s="155"/>
      <c r="W53" s="156"/>
      <c r="X53" s="161">
        <f t="shared" si="4"/>
        <v>0</v>
      </c>
      <c r="Y53" s="162">
        <f t="shared" si="5"/>
        <v>0</v>
      </c>
      <c r="Z53" s="163">
        <f t="shared" si="0"/>
        <v>0</v>
      </c>
      <c r="AA53" s="162">
        <f t="shared" si="6"/>
        <v>0</v>
      </c>
      <c r="AB53" s="163">
        <f t="shared" si="7"/>
        <v>0</v>
      </c>
      <c r="AC53" s="162">
        <f t="shared" si="8"/>
        <v>0</v>
      </c>
      <c r="AD53" s="163">
        <f t="shared" si="9"/>
        <v>0</v>
      </c>
      <c r="AE53" s="162">
        <f t="shared" si="10"/>
        <v>0</v>
      </c>
      <c r="AF53" s="163">
        <f t="shared" si="11"/>
        <v>0</v>
      </c>
      <c r="AG53" s="162">
        <f t="shared" si="12"/>
        <v>0</v>
      </c>
    </row>
    <row r="54" spans="2:33" s="97" customFormat="1" ht="18" customHeight="1">
      <c r="B54" s="196"/>
      <c r="C54" s="82" t="s">
        <v>58</v>
      </c>
      <c r="D54" s="111">
        <v>39355</v>
      </c>
      <c r="E54" s="111">
        <v>36177</v>
      </c>
      <c r="F54" s="111">
        <v>33609</v>
      </c>
      <c r="G54" s="111">
        <v>38387</v>
      </c>
      <c r="H54" s="111">
        <f t="shared" ref="H54:H55" si="39">SUM(D54:G54)</f>
        <v>147528</v>
      </c>
      <c r="I54" s="111">
        <v>41806</v>
      </c>
      <c r="J54" s="111">
        <v>127</v>
      </c>
      <c r="K54" s="111">
        <v>41171</v>
      </c>
      <c r="L54" s="111">
        <v>22</v>
      </c>
      <c r="M54" s="111">
        <v>33375</v>
      </c>
      <c r="N54" s="111">
        <v>17</v>
      </c>
      <c r="O54" s="111">
        <v>43622</v>
      </c>
      <c r="P54" s="111">
        <v>21</v>
      </c>
      <c r="Q54" s="111">
        <f t="shared" ref="Q54:Q55" si="40">I54+K54+M54+O54</f>
        <v>159974</v>
      </c>
      <c r="R54" s="111">
        <f t="shared" ref="R54:R55" si="41">J54+L54+N54+P54</f>
        <v>187</v>
      </c>
      <c r="S54" s="108">
        <v>66453</v>
      </c>
      <c r="T54" s="108">
        <v>61437</v>
      </c>
      <c r="U54" s="108">
        <v>61654</v>
      </c>
      <c r="V54" s="108">
        <v>56034</v>
      </c>
      <c r="W54" s="108">
        <v>56034</v>
      </c>
      <c r="X54" s="135">
        <f t="shared" si="4"/>
        <v>1.0622792529538814</v>
      </c>
      <c r="Y54" s="91">
        <f t="shared" si="5"/>
        <v>145.04703272257572</v>
      </c>
      <c r="Z54" s="93">
        <f t="shared" si="0"/>
        <v>1.1380435083063825</v>
      </c>
      <c r="AA54" s="91">
        <f t="shared" si="6"/>
        <v>136.16687109858881</v>
      </c>
      <c r="AB54" s="93">
        <f t="shared" si="7"/>
        <v>0.99303757921985181</v>
      </c>
      <c r="AC54" s="91">
        <f t="shared" si="8"/>
        <v>168.56711610486892</v>
      </c>
      <c r="AD54" s="93">
        <f t="shared" si="9"/>
        <v>1.1363742933805716</v>
      </c>
      <c r="AE54" s="91">
        <f t="shared" si="10"/>
        <v>117.21384851680345</v>
      </c>
      <c r="AF54" s="93">
        <f>IFERROR(Q54/H54,0)</f>
        <v>1.0843636462230899</v>
      </c>
      <c r="AG54" s="91">
        <f t="shared" si="12"/>
        <v>127.84833785490142</v>
      </c>
    </row>
    <row r="55" spans="2:33" s="98" customFormat="1" ht="18" customHeight="1">
      <c r="B55" s="196"/>
      <c r="C55" s="86" t="s">
        <v>59</v>
      </c>
      <c r="D55" s="109">
        <v>1118</v>
      </c>
      <c r="E55" s="109">
        <v>923</v>
      </c>
      <c r="F55" s="109">
        <v>866</v>
      </c>
      <c r="G55" s="109">
        <v>915</v>
      </c>
      <c r="H55" s="109">
        <f t="shared" si="39"/>
        <v>3822</v>
      </c>
      <c r="I55" s="109">
        <v>1208</v>
      </c>
      <c r="J55" s="109"/>
      <c r="K55" s="109">
        <v>1333</v>
      </c>
      <c r="L55" s="109"/>
      <c r="M55" s="109">
        <v>1013</v>
      </c>
      <c r="N55" s="109"/>
      <c r="O55" s="109">
        <v>1233</v>
      </c>
      <c r="P55" s="109"/>
      <c r="Q55" s="109">
        <f t="shared" si="40"/>
        <v>4787</v>
      </c>
      <c r="R55" s="109">
        <f t="shared" si="41"/>
        <v>0</v>
      </c>
      <c r="S55" s="105">
        <v>1239</v>
      </c>
      <c r="T55" s="105">
        <v>909</v>
      </c>
      <c r="U55" s="105">
        <v>764</v>
      </c>
      <c r="V55" s="105">
        <v>485</v>
      </c>
      <c r="W55" s="105">
        <v>485</v>
      </c>
      <c r="X55" s="134">
        <f t="shared" si="4"/>
        <v>1.0805008944543828</v>
      </c>
      <c r="Y55" s="87">
        <f t="shared" si="5"/>
        <v>93.591680463576154</v>
      </c>
      <c r="Z55" s="92">
        <f t="shared" si="0"/>
        <v>1.4442036836403034</v>
      </c>
      <c r="AA55" s="87">
        <f t="shared" si="6"/>
        <v>62.22524381095274</v>
      </c>
      <c r="AB55" s="92">
        <f t="shared" si="7"/>
        <v>1.1697459584295613</v>
      </c>
      <c r="AC55" s="87">
        <f t="shared" si="8"/>
        <v>68.820335636722604</v>
      </c>
      <c r="AD55" s="92">
        <f t="shared" si="9"/>
        <v>1.3475409836065573</v>
      </c>
      <c r="AE55" s="87">
        <f t="shared" si="10"/>
        <v>35.893146796431466</v>
      </c>
      <c r="AF55" s="92">
        <f t="shared" si="11"/>
        <v>1.2524856096284667</v>
      </c>
      <c r="AG55" s="87">
        <f t="shared" si="12"/>
        <v>36.980363484437014</v>
      </c>
    </row>
    <row r="56" spans="2:33" s="97" customFormat="1" ht="24.95" customHeight="1">
      <c r="B56" s="196"/>
      <c r="C56" s="96" t="s">
        <v>24</v>
      </c>
      <c r="D56" s="89">
        <f t="shared" ref="D56:W56" si="42">SUM(D54:D55)</f>
        <v>40473</v>
      </c>
      <c r="E56" s="89">
        <f t="shared" si="42"/>
        <v>37100</v>
      </c>
      <c r="F56" s="89">
        <f t="shared" si="42"/>
        <v>34475</v>
      </c>
      <c r="G56" s="89">
        <f t="shared" si="42"/>
        <v>39302</v>
      </c>
      <c r="H56" s="89">
        <f t="shared" si="42"/>
        <v>151350</v>
      </c>
      <c r="I56" s="89">
        <f t="shared" si="42"/>
        <v>43014</v>
      </c>
      <c r="J56" s="89">
        <f t="shared" si="42"/>
        <v>127</v>
      </c>
      <c r="K56" s="89">
        <f t="shared" si="42"/>
        <v>42504</v>
      </c>
      <c r="L56" s="89">
        <f t="shared" si="42"/>
        <v>22</v>
      </c>
      <c r="M56" s="89">
        <f t="shared" si="42"/>
        <v>34388</v>
      </c>
      <c r="N56" s="89">
        <f t="shared" si="42"/>
        <v>17</v>
      </c>
      <c r="O56" s="89">
        <f t="shared" si="42"/>
        <v>44855</v>
      </c>
      <c r="P56" s="89">
        <f t="shared" si="42"/>
        <v>21</v>
      </c>
      <c r="Q56" s="89">
        <f t="shared" si="42"/>
        <v>164761</v>
      </c>
      <c r="R56" s="89">
        <f t="shared" si="42"/>
        <v>187</v>
      </c>
      <c r="S56" s="89">
        <f t="shared" si="42"/>
        <v>67692</v>
      </c>
      <c r="T56" s="89">
        <f t="shared" si="42"/>
        <v>62346</v>
      </c>
      <c r="U56" s="89">
        <f t="shared" si="42"/>
        <v>62418</v>
      </c>
      <c r="V56" s="89">
        <f t="shared" si="42"/>
        <v>56519</v>
      </c>
      <c r="W56" s="124">
        <f t="shared" si="42"/>
        <v>56519</v>
      </c>
      <c r="X56" s="136">
        <f t="shared" si="4"/>
        <v>1.0627825958046104</v>
      </c>
      <c r="Y56" s="89">
        <f t="shared" si="5"/>
        <v>143.60196680150648</v>
      </c>
      <c r="Z56" s="94">
        <f t="shared" si="0"/>
        <v>1.1456603773584906</v>
      </c>
      <c r="AA56" s="89">
        <f t="shared" si="6"/>
        <v>133.847931959345</v>
      </c>
      <c r="AB56" s="94">
        <f t="shared" si="7"/>
        <v>0.99747643219724436</v>
      </c>
      <c r="AC56" s="89">
        <f t="shared" si="8"/>
        <v>165.62878038850761</v>
      </c>
      <c r="AD56" s="94">
        <f t="shared" si="9"/>
        <v>1.1412905195664342</v>
      </c>
      <c r="AE56" s="89">
        <f t="shared" si="10"/>
        <v>114.9784583658455</v>
      </c>
      <c r="AF56" s="94">
        <f t="shared" si="11"/>
        <v>1.0886091840105716</v>
      </c>
      <c r="AG56" s="89">
        <f t="shared" si="12"/>
        <v>125.20824102791316</v>
      </c>
    </row>
    <row r="57" spans="2:33" s="97" customFormat="1" ht="24.95" customHeight="1">
      <c r="B57" s="96" t="s">
        <v>60</v>
      </c>
      <c r="C57" s="71" t="s">
        <v>24</v>
      </c>
      <c r="D57" s="112">
        <v>4152</v>
      </c>
      <c r="E57" s="112">
        <v>3809</v>
      </c>
      <c r="F57" s="112">
        <v>2622</v>
      </c>
      <c r="G57" s="112">
        <v>3247</v>
      </c>
      <c r="H57" s="112">
        <f>SUM(D57:G57)</f>
        <v>13830</v>
      </c>
      <c r="I57" s="112">
        <v>6569</v>
      </c>
      <c r="J57" s="112"/>
      <c r="K57" s="112">
        <v>5182</v>
      </c>
      <c r="L57" s="112"/>
      <c r="M57" s="112">
        <v>5824</v>
      </c>
      <c r="N57" s="112"/>
      <c r="O57" s="112">
        <v>6809</v>
      </c>
      <c r="P57" s="112"/>
      <c r="Q57" s="112">
        <f>I57+K57+M57+O57</f>
        <v>24384</v>
      </c>
      <c r="R57" s="112">
        <f>J57+L57+N57+P57</f>
        <v>0</v>
      </c>
      <c r="S57" s="113">
        <v>28914</v>
      </c>
      <c r="T57" s="113">
        <v>27521</v>
      </c>
      <c r="U57" s="113">
        <v>24314</v>
      </c>
      <c r="V57" s="113">
        <v>20673</v>
      </c>
      <c r="W57" s="113">
        <v>20673</v>
      </c>
      <c r="X57" s="136">
        <f t="shared" si="4"/>
        <v>1.5821290944123314</v>
      </c>
      <c r="Y57" s="89">
        <f t="shared" si="5"/>
        <v>401.64446643324709</v>
      </c>
      <c r="Z57" s="94">
        <f t="shared" si="0"/>
        <v>1.3604620635337359</v>
      </c>
      <c r="AA57" s="89">
        <f t="shared" si="6"/>
        <v>484.61814936318024</v>
      </c>
      <c r="AB57" s="94">
        <f t="shared" si="7"/>
        <v>2.221205186880244</v>
      </c>
      <c r="AC57" s="89">
        <f t="shared" si="8"/>
        <v>380.94994848901098</v>
      </c>
      <c r="AD57" s="94">
        <f t="shared" si="9"/>
        <v>2.0970126270403449</v>
      </c>
      <c r="AE57" s="89">
        <f t="shared" si="10"/>
        <v>277.04673960934059</v>
      </c>
      <c r="AF57" s="94">
        <f t="shared" si="11"/>
        <v>1.7631236442516269</v>
      </c>
      <c r="AG57" s="89">
        <f t="shared" si="12"/>
        <v>309.45066437007875</v>
      </c>
    </row>
    <row r="58" spans="2:33" s="97" customFormat="1" ht="35.1" customHeight="1">
      <c r="B58" s="193" t="s">
        <v>61</v>
      </c>
      <c r="C58" s="193"/>
      <c r="D58" s="99">
        <f t="shared" ref="D58:W58" si="43">SUM(D17+D31+D40+D45+D46+D47+D50+D56+D57)</f>
        <v>336792</v>
      </c>
      <c r="E58" s="99">
        <f t="shared" si="43"/>
        <v>341720</v>
      </c>
      <c r="F58" s="99">
        <f t="shared" si="43"/>
        <v>297129</v>
      </c>
      <c r="G58" s="99">
        <f t="shared" si="43"/>
        <v>321769</v>
      </c>
      <c r="H58" s="99">
        <f t="shared" si="43"/>
        <v>1297410</v>
      </c>
      <c r="I58" s="99">
        <f t="shared" si="43"/>
        <v>359537</v>
      </c>
      <c r="J58" s="99">
        <f t="shared" si="43"/>
        <v>941</v>
      </c>
      <c r="K58" s="99">
        <f t="shared" si="43"/>
        <v>342111</v>
      </c>
      <c r="L58" s="99">
        <f t="shared" si="43"/>
        <v>2623</v>
      </c>
      <c r="M58" s="99">
        <f t="shared" si="43"/>
        <v>290468</v>
      </c>
      <c r="N58" s="99">
        <f t="shared" si="43"/>
        <v>131</v>
      </c>
      <c r="O58" s="99">
        <f t="shared" si="43"/>
        <v>348041</v>
      </c>
      <c r="P58" s="99">
        <f t="shared" si="43"/>
        <v>2885</v>
      </c>
      <c r="Q58" s="99">
        <f t="shared" si="43"/>
        <v>1340157</v>
      </c>
      <c r="R58" s="99">
        <f t="shared" si="43"/>
        <v>6580</v>
      </c>
      <c r="S58" s="99">
        <f t="shared" si="43"/>
        <v>535087</v>
      </c>
      <c r="T58" s="99">
        <f t="shared" si="43"/>
        <v>528540</v>
      </c>
      <c r="U58" s="99">
        <f t="shared" si="43"/>
        <v>538258</v>
      </c>
      <c r="V58" s="99">
        <f t="shared" si="43"/>
        <v>508931</v>
      </c>
      <c r="W58" s="129">
        <f t="shared" si="43"/>
        <v>508931</v>
      </c>
      <c r="X58" s="137">
        <f t="shared" si="4"/>
        <v>1.0675342644718402</v>
      </c>
      <c r="Y58" s="99">
        <f t="shared" si="5"/>
        <v>135.80435045628127</v>
      </c>
      <c r="Z58" s="117">
        <f t="shared" si="0"/>
        <v>1.0011442116352569</v>
      </c>
      <c r="AA58" s="99">
        <f t="shared" si="6"/>
        <v>140.97551671825812</v>
      </c>
      <c r="AB58" s="117">
        <f t="shared" si="7"/>
        <v>0.97758212762806729</v>
      </c>
      <c r="AC58" s="99">
        <f t="shared" si="8"/>
        <v>169.09278302601319</v>
      </c>
      <c r="AD58" s="117">
        <f t="shared" si="9"/>
        <v>1.0816486361333753</v>
      </c>
      <c r="AE58" s="99">
        <f t="shared" si="10"/>
        <v>133.43242247321436</v>
      </c>
      <c r="AF58" s="117">
        <f t="shared" si="11"/>
        <v>1.0329479501468311</v>
      </c>
      <c r="AG58" s="99">
        <f t="shared" si="12"/>
        <v>138.61048742796552</v>
      </c>
    </row>
    <row r="59" spans="2:33" s="97" customFormat="1" ht="20.100000000000001" customHeight="1">
      <c r="B59" s="100"/>
      <c r="C59" s="100"/>
      <c r="D59" s="101"/>
      <c r="E59" s="101"/>
      <c r="F59" s="101"/>
      <c r="G59" s="101"/>
      <c r="H59" s="101"/>
      <c r="I59" s="101"/>
      <c r="J59" s="101"/>
      <c r="K59" s="101"/>
      <c r="L59" s="101"/>
      <c r="M59" s="101"/>
      <c r="N59" s="101"/>
      <c r="O59" s="101"/>
      <c r="P59" s="101"/>
      <c r="Q59" s="101"/>
      <c r="R59" s="101"/>
      <c r="S59" s="101"/>
      <c r="T59" s="101"/>
      <c r="U59" s="101"/>
      <c r="V59" s="101"/>
      <c r="W59" s="101"/>
      <c r="X59" s="102"/>
      <c r="Y59" s="103"/>
      <c r="Z59" s="102"/>
      <c r="AA59" s="103"/>
      <c r="AB59" s="102"/>
      <c r="AC59" s="103"/>
      <c r="AD59" s="102"/>
      <c r="AE59" s="103"/>
      <c r="AF59" s="102"/>
      <c r="AG59" s="103"/>
    </row>
    <row r="60" spans="2:33" s="97" customFormat="1" ht="52.5" customHeight="1">
      <c r="B60" s="226" t="s">
        <v>152</v>
      </c>
      <c r="C60" s="226"/>
      <c r="D60" s="101"/>
      <c r="E60" s="101"/>
      <c r="F60" s="101"/>
      <c r="G60" s="101"/>
      <c r="H60" s="101"/>
      <c r="I60" s="101"/>
      <c r="J60" s="101"/>
      <c r="K60" s="101"/>
      <c r="L60" s="101"/>
      <c r="M60" s="101"/>
      <c r="N60" s="101"/>
      <c r="O60" s="101"/>
      <c r="P60" s="101"/>
      <c r="Q60" s="101"/>
      <c r="R60" s="101"/>
      <c r="S60" s="101"/>
      <c r="T60" s="101"/>
      <c r="U60" s="101"/>
      <c r="V60" s="101"/>
      <c r="W60" s="101"/>
      <c r="X60" s="102"/>
      <c r="Y60" s="103"/>
      <c r="Z60" s="102"/>
      <c r="AA60" s="103"/>
      <c r="AB60" s="102"/>
      <c r="AC60" s="103"/>
      <c r="AD60" s="102"/>
      <c r="AE60" s="103"/>
      <c r="AF60" s="102"/>
      <c r="AG60" s="103"/>
    </row>
    <row r="61" spans="2:33" ht="27.75" customHeight="1">
      <c r="B61" s="203" t="s">
        <v>0</v>
      </c>
      <c r="C61" s="204"/>
      <c r="D61" s="209" t="s">
        <v>1</v>
      </c>
      <c r="E61" s="210"/>
      <c r="F61" s="210"/>
      <c r="G61" s="210"/>
      <c r="H61" s="211"/>
      <c r="I61" s="215" t="s">
        <v>2</v>
      </c>
      <c r="J61" s="216"/>
      <c r="K61" s="216"/>
      <c r="L61" s="216"/>
      <c r="M61" s="216"/>
      <c r="N61" s="216"/>
      <c r="O61" s="216"/>
      <c r="P61" s="216"/>
      <c r="Q61" s="216"/>
      <c r="R61" s="217"/>
      <c r="S61" s="221" t="s">
        <v>3</v>
      </c>
      <c r="T61" s="222"/>
      <c r="U61" s="222"/>
      <c r="V61" s="222"/>
      <c r="W61" s="222"/>
      <c r="X61" s="198" t="s">
        <v>4</v>
      </c>
      <c r="Y61" s="199"/>
      <c r="Z61" s="199"/>
      <c r="AA61" s="199"/>
      <c r="AB61" s="199"/>
      <c r="AC61" s="199"/>
      <c r="AD61" s="199"/>
      <c r="AE61" s="199"/>
      <c r="AF61" s="199"/>
      <c r="AG61" s="199"/>
    </row>
    <row r="62" spans="2:33" ht="15.75" customHeight="1">
      <c r="B62" s="205"/>
      <c r="C62" s="206"/>
      <c r="D62" s="212"/>
      <c r="E62" s="213"/>
      <c r="F62" s="213"/>
      <c r="G62" s="213"/>
      <c r="H62" s="214"/>
      <c r="I62" s="218"/>
      <c r="J62" s="219"/>
      <c r="K62" s="219"/>
      <c r="L62" s="219"/>
      <c r="M62" s="219"/>
      <c r="N62" s="219"/>
      <c r="O62" s="219"/>
      <c r="P62" s="219"/>
      <c r="Q62" s="219"/>
      <c r="R62" s="220"/>
      <c r="S62" s="223"/>
      <c r="T62" s="224"/>
      <c r="U62" s="224"/>
      <c r="V62" s="224"/>
      <c r="W62" s="224"/>
      <c r="X62" s="200" t="s">
        <v>5</v>
      </c>
      <c r="Y62" s="201"/>
      <c r="Z62" s="202" t="s">
        <v>6</v>
      </c>
      <c r="AA62" s="201"/>
      <c r="AB62" s="202" t="s">
        <v>7</v>
      </c>
      <c r="AC62" s="201"/>
      <c r="AD62" s="202" t="s">
        <v>8</v>
      </c>
      <c r="AE62" s="201"/>
      <c r="AF62" s="194">
        <f>H4</f>
        <v>2016</v>
      </c>
      <c r="AG62" s="195"/>
    </row>
    <row r="63" spans="2:33" ht="69" customHeight="1">
      <c r="B63" s="207"/>
      <c r="C63" s="208"/>
      <c r="D63" s="70" t="s">
        <v>5</v>
      </c>
      <c r="E63" s="70" t="s">
        <v>6</v>
      </c>
      <c r="F63" s="70" t="s">
        <v>7</v>
      </c>
      <c r="G63" s="70" t="s">
        <v>8</v>
      </c>
      <c r="H63" s="71">
        <f>H4</f>
        <v>2016</v>
      </c>
      <c r="I63" s="70" t="s">
        <v>5</v>
      </c>
      <c r="J63" s="72" t="s">
        <v>9</v>
      </c>
      <c r="K63" s="70" t="s">
        <v>6</v>
      </c>
      <c r="L63" s="72" t="s">
        <v>9</v>
      </c>
      <c r="M63" s="70" t="s">
        <v>7</v>
      </c>
      <c r="N63" s="72" t="s">
        <v>9</v>
      </c>
      <c r="O63" s="70" t="s">
        <v>8</v>
      </c>
      <c r="P63" s="72" t="s">
        <v>9</v>
      </c>
      <c r="Q63" s="71">
        <f>H4</f>
        <v>2016</v>
      </c>
      <c r="R63" s="73" t="s">
        <v>9</v>
      </c>
      <c r="S63" s="70" t="s">
        <v>5</v>
      </c>
      <c r="T63" s="70" t="s">
        <v>6</v>
      </c>
      <c r="U63" s="70" t="s">
        <v>7</v>
      </c>
      <c r="V63" s="70" t="s">
        <v>8</v>
      </c>
      <c r="W63" s="74">
        <f>H4</f>
        <v>2016</v>
      </c>
      <c r="X63" s="130" t="s">
        <v>10</v>
      </c>
      <c r="Y63" s="75" t="s">
        <v>11</v>
      </c>
      <c r="Z63" s="76" t="s">
        <v>10</v>
      </c>
      <c r="AA63" s="75" t="s">
        <v>11</v>
      </c>
      <c r="AB63" s="76" t="s">
        <v>10</v>
      </c>
      <c r="AC63" s="75" t="s">
        <v>11</v>
      </c>
      <c r="AD63" s="76" t="s">
        <v>10</v>
      </c>
      <c r="AE63" s="75" t="s">
        <v>11</v>
      </c>
      <c r="AF63" s="77" t="s">
        <v>10</v>
      </c>
      <c r="AG63" s="78" t="s">
        <v>11</v>
      </c>
    </row>
    <row r="64" spans="2:33" s="98" customFormat="1" ht="18" customHeight="1">
      <c r="B64" s="191" t="s">
        <v>103</v>
      </c>
      <c r="C64" s="192"/>
      <c r="D64" s="115">
        <f>SUM(D8+D21+D49+D24+D26+D20+D25)</f>
        <v>14069</v>
      </c>
      <c r="E64" s="115">
        <f>SUM(E8+E21+E49+E24+E26+E20+E25)</f>
        <v>13656</v>
      </c>
      <c r="F64" s="115">
        <f t="shared" ref="F64:W64" si="44">SUM(F8+F21+F49+F24+F26+F20+F25)</f>
        <v>12036</v>
      </c>
      <c r="G64" s="115">
        <f t="shared" si="44"/>
        <v>14508</v>
      </c>
      <c r="H64" s="115">
        <f>SUM(H8+H21+H49+H24+H26+H20+H25)</f>
        <v>54269</v>
      </c>
      <c r="I64" s="115">
        <f t="shared" si="44"/>
        <v>14318</v>
      </c>
      <c r="J64" s="115">
        <f t="shared" si="44"/>
        <v>4</v>
      </c>
      <c r="K64" s="115">
        <f t="shared" si="44"/>
        <v>13388</v>
      </c>
      <c r="L64" s="115">
        <f t="shared" si="44"/>
        <v>3</v>
      </c>
      <c r="M64" s="115">
        <f t="shared" si="44"/>
        <v>10826</v>
      </c>
      <c r="N64" s="115">
        <f t="shared" si="44"/>
        <v>6</v>
      </c>
      <c r="O64" s="115">
        <f t="shared" si="44"/>
        <v>13643</v>
      </c>
      <c r="P64" s="115">
        <f t="shared" si="44"/>
        <v>671</v>
      </c>
      <c r="Q64" s="115">
        <f t="shared" si="44"/>
        <v>52175</v>
      </c>
      <c r="R64" s="115">
        <f t="shared" si="44"/>
        <v>684</v>
      </c>
      <c r="S64" s="115">
        <f>SUM(S8+S21+S49+S24+S26+S20+S25)</f>
        <v>30553</v>
      </c>
      <c r="T64" s="115">
        <f t="shared" si="44"/>
        <v>30819</v>
      </c>
      <c r="U64" s="115">
        <f t="shared" si="44"/>
        <v>31996</v>
      </c>
      <c r="V64" s="115">
        <f t="shared" si="44"/>
        <v>32188</v>
      </c>
      <c r="W64" s="138">
        <f t="shared" si="44"/>
        <v>32188</v>
      </c>
      <c r="X64" s="139">
        <f t="shared" ref="X64:X71" si="45">IFERROR(I64/D64,0)</f>
        <v>1.0176984860331224</v>
      </c>
      <c r="Y64" s="115">
        <f t="shared" ref="Y64:Y71" si="46">IFERROR((S64/I64)*91.25,0)</f>
        <v>194.7172265679564</v>
      </c>
      <c r="Z64" s="104">
        <f t="shared" si="0"/>
        <v>0.9803749267721148</v>
      </c>
      <c r="AA64" s="115">
        <f t="shared" si="6"/>
        <v>210.05630041828502</v>
      </c>
      <c r="AB64" s="104">
        <f t="shared" si="7"/>
        <v>0.89946826188102358</v>
      </c>
      <c r="AC64" s="115">
        <f t="shared" si="8"/>
        <v>269.68732680583781</v>
      </c>
      <c r="AD64" s="104">
        <f t="shared" si="9"/>
        <v>0.94037772263578712</v>
      </c>
      <c r="AE64" s="115">
        <f t="shared" si="10"/>
        <v>215.28659385765593</v>
      </c>
      <c r="AF64" s="104">
        <f t="shared" si="11"/>
        <v>0.96141443549724526</v>
      </c>
      <c r="AG64" s="115">
        <f t="shared" si="12"/>
        <v>225.17719214183037</v>
      </c>
    </row>
    <row r="65" spans="2:37" s="98" customFormat="1" ht="18" customHeight="1">
      <c r="B65" s="191" t="s">
        <v>104</v>
      </c>
      <c r="C65" s="192"/>
      <c r="D65" s="115">
        <f>SUM(D9+D12+D13+D14+D15+D30+D48)</f>
        <v>59790</v>
      </c>
      <c r="E65" s="115">
        <f>SUM(E9+E12+E13+E14+E15+E30+E48)</f>
        <v>60422</v>
      </c>
      <c r="F65" s="115">
        <f t="shared" ref="F65:W65" si="47">SUM(F9+F12+F13+F14+F15+F30+F48)</f>
        <v>47453</v>
      </c>
      <c r="G65" s="115">
        <f t="shared" si="47"/>
        <v>55007</v>
      </c>
      <c r="H65" s="115">
        <f t="shared" si="47"/>
        <v>222672</v>
      </c>
      <c r="I65" s="115">
        <f t="shared" si="47"/>
        <v>69704</v>
      </c>
      <c r="J65" s="115">
        <f t="shared" si="47"/>
        <v>800</v>
      </c>
      <c r="K65" s="115">
        <f t="shared" si="47"/>
        <v>67448</v>
      </c>
      <c r="L65" s="115">
        <f t="shared" si="47"/>
        <v>802</v>
      </c>
      <c r="M65" s="115">
        <f t="shared" si="47"/>
        <v>46685</v>
      </c>
      <c r="N65" s="115">
        <f t="shared" si="47"/>
        <v>2</v>
      </c>
      <c r="O65" s="115">
        <f t="shared" si="47"/>
        <v>59737</v>
      </c>
      <c r="P65" s="115">
        <f t="shared" si="47"/>
        <v>1801</v>
      </c>
      <c r="Q65" s="115">
        <f t="shared" si="47"/>
        <v>243574</v>
      </c>
      <c r="R65" s="115">
        <f t="shared" si="47"/>
        <v>3405</v>
      </c>
      <c r="S65" s="115">
        <f t="shared" si="47"/>
        <v>221195</v>
      </c>
      <c r="T65" s="115">
        <f t="shared" si="47"/>
        <v>213442</v>
      </c>
      <c r="U65" s="115">
        <f t="shared" si="47"/>
        <v>214300</v>
      </c>
      <c r="V65" s="115">
        <f t="shared" si="47"/>
        <v>207800</v>
      </c>
      <c r="W65" s="138">
        <f t="shared" si="47"/>
        <v>207800</v>
      </c>
      <c r="X65" s="139">
        <f t="shared" si="45"/>
        <v>1.165813681217595</v>
      </c>
      <c r="Y65" s="115">
        <f t="shared" si="46"/>
        <v>289.56794086422587</v>
      </c>
      <c r="Z65" s="104">
        <f t="shared" si="0"/>
        <v>1.1162821488861674</v>
      </c>
      <c r="AA65" s="115">
        <f t="shared" si="6"/>
        <v>288.76441851500414</v>
      </c>
      <c r="AB65" s="104">
        <f t="shared" si="7"/>
        <v>0.98381556487471811</v>
      </c>
      <c r="AC65" s="115">
        <f t="shared" si="8"/>
        <v>418.86848023990581</v>
      </c>
      <c r="AD65" s="104">
        <f t="shared" si="9"/>
        <v>1.0859890559383352</v>
      </c>
      <c r="AE65" s="115">
        <f t="shared" si="10"/>
        <v>317.42052664177982</v>
      </c>
      <c r="AF65" s="104">
        <f t="shared" si="11"/>
        <v>1.0938690091255299</v>
      </c>
      <c r="AG65" s="115">
        <f t="shared" si="12"/>
        <v>311.39202049479832</v>
      </c>
    </row>
    <row r="66" spans="2:37" s="81" customFormat="1" ht="18" customHeight="1">
      <c r="B66" s="191" t="s">
        <v>105</v>
      </c>
      <c r="C66" s="192"/>
      <c r="D66" s="115">
        <f>SUM(D45+D47)</f>
        <v>4812</v>
      </c>
      <c r="E66" s="115">
        <f>SUM(E45+E47)</f>
        <v>5934</v>
      </c>
      <c r="F66" s="115">
        <f t="shared" ref="F66:W66" si="48">SUM(F45+F47)</f>
        <v>4196</v>
      </c>
      <c r="G66" s="115">
        <f t="shared" si="48"/>
        <v>4414</v>
      </c>
      <c r="H66" s="115">
        <f t="shared" si="48"/>
        <v>19356</v>
      </c>
      <c r="I66" s="115">
        <f t="shared" si="48"/>
        <v>5538</v>
      </c>
      <c r="J66" s="115">
        <f t="shared" si="48"/>
        <v>0</v>
      </c>
      <c r="K66" s="115">
        <f t="shared" si="48"/>
        <v>5692</v>
      </c>
      <c r="L66" s="115">
        <f t="shared" si="48"/>
        <v>0</v>
      </c>
      <c r="M66" s="115">
        <f t="shared" si="48"/>
        <v>3980</v>
      </c>
      <c r="N66" s="115">
        <f t="shared" si="48"/>
        <v>0</v>
      </c>
      <c r="O66" s="115">
        <f t="shared" si="48"/>
        <v>4789</v>
      </c>
      <c r="P66" s="115">
        <f t="shared" si="48"/>
        <v>0</v>
      </c>
      <c r="Q66" s="115">
        <f t="shared" si="48"/>
        <v>19999</v>
      </c>
      <c r="R66" s="115">
        <f t="shared" si="48"/>
        <v>0</v>
      </c>
      <c r="S66" s="115">
        <f t="shared" si="48"/>
        <v>15020</v>
      </c>
      <c r="T66" s="115">
        <f t="shared" si="48"/>
        <v>15264</v>
      </c>
      <c r="U66" s="115">
        <f t="shared" si="48"/>
        <v>15480</v>
      </c>
      <c r="V66" s="115">
        <f t="shared" si="48"/>
        <v>15105</v>
      </c>
      <c r="W66" s="138">
        <f t="shared" si="48"/>
        <v>15105</v>
      </c>
      <c r="X66" s="139">
        <f t="shared" si="45"/>
        <v>1.1508728179551122</v>
      </c>
      <c r="Y66" s="115">
        <f t="shared" si="46"/>
        <v>247.48555435175152</v>
      </c>
      <c r="Z66" s="104">
        <f t="shared" si="0"/>
        <v>0.9592180653859117</v>
      </c>
      <c r="AA66" s="115">
        <f t="shared" si="6"/>
        <v>244.70133520730849</v>
      </c>
      <c r="AB66" s="104">
        <f t="shared" si="7"/>
        <v>0.9485224022878932</v>
      </c>
      <c r="AC66" s="115">
        <f t="shared" si="8"/>
        <v>354.91206030150755</v>
      </c>
      <c r="AD66" s="104">
        <f t="shared" si="9"/>
        <v>1.0849569551427276</v>
      </c>
      <c r="AE66" s="115">
        <f t="shared" si="10"/>
        <v>287.81191271664233</v>
      </c>
      <c r="AF66" s="104">
        <f t="shared" si="11"/>
        <v>1.0332196734862575</v>
      </c>
      <c r="AG66" s="115">
        <f t="shared" si="12"/>
        <v>275.68003400170011</v>
      </c>
    </row>
    <row r="67" spans="2:37" s="81" customFormat="1" ht="18" customHeight="1">
      <c r="B67" s="191" t="s">
        <v>106</v>
      </c>
      <c r="C67" s="192"/>
      <c r="D67" s="115">
        <f t="shared" ref="D67:W67" si="49">SUM(D10+D33)</f>
        <v>27031</v>
      </c>
      <c r="E67" s="115">
        <f t="shared" si="49"/>
        <v>38480</v>
      </c>
      <c r="F67" s="115">
        <f t="shared" si="49"/>
        <v>35362</v>
      </c>
      <c r="G67" s="115">
        <f t="shared" si="49"/>
        <v>31723</v>
      </c>
      <c r="H67" s="115">
        <f t="shared" si="49"/>
        <v>132596</v>
      </c>
      <c r="I67" s="115">
        <f t="shared" si="49"/>
        <v>34184</v>
      </c>
      <c r="J67" s="115">
        <f t="shared" si="49"/>
        <v>9</v>
      </c>
      <c r="K67" s="115">
        <f t="shared" si="49"/>
        <v>32556</v>
      </c>
      <c r="L67" s="115">
        <f t="shared" si="49"/>
        <v>6</v>
      </c>
      <c r="M67" s="115">
        <f t="shared" si="49"/>
        <v>34213</v>
      </c>
      <c r="N67" s="115">
        <f t="shared" si="49"/>
        <v>6</v>
      </c>
      <c r="O67" s="115">
        <f t="shared" si="49"/>
        <v>35500</v>
      </c>
      <c r="P67" s="115">
        <f t="shared" si="49"/>
        <v>3</v>
      </c>
      <c r="Q67" s="115">
        <f t="shared" si="49"/>
        <v>136453</v>
      </c>
      <c r="R67" s="115">
        <f t="shared" si="49"/>
        <v>24</v>
      </c>
      <c r="S67" s="115">
        <f t="shared" si="49"/>
        <v>72314</v>
      </c>
      <c r="T67" s="115">
        <f t="shared" si="49"/>
        <v>78299</v>
      </c>
      <c r="U67" s="115">
        <f t="shared" si="49"/>
        <v>79324</v>
      </c>
      <c r="V67" s="115">
        <f t="shared" si="49"/>
        <v>75715</v>
      </c>
      <c r="W67" s="138">
        <f t="shared" si="49"/>
        <v>75715</v>
      </c>
      <c r="X67" s="139">
        <f t="shared" si="45"/>
        <v>1.264622100551219</v>
      </c>
      <c r="Y67" s="115">
        <f t="shared" si="46"/>
        <v>193.0333635619003</v>
      </c>
      <c r="Z67" s="104">
        <f t="shared" si="0"/>
        <v>0.846049896049896</v>
      </c>
      <c r="AA67" s="115">
        <f t="shared" si="6"/>
        <v>219.4613512102224</v>
      </c>
      <c r="AB67" s="104">
        <f t="shared" si="7"/>
        <v>0.96750749392002711</v>
      </c>
      <c r="AC67" s="115">
        <f t="shared" si="8"/>
        <v>211.56621751965625</v>
      </c>
      <c r="AD67" s="104">
        <f t="shared" si="9"/>
        <v>1.1190618793934999</v>
      </c>
      <c r="AE67" s="115">
        <f t="shared" si="10"/>
        <v>194.6195422535211</v>
      </c>
      <c r="AF67" s="104">
        <f t="shared" si="11"/>
        <v>1.0290883586231863</v>
      </c>
      <c r="AG67" s="115">
        <f t="shared" si="12"/>
        <v>202.53109129150695</v>
      </c>
    </row>
    <row r="68" spans="2:37" s="81" customFormat="1" ht="18" customHeight="1">
      <c r="B68" s="191" t="s">
        <v>107</v>
      </c>
      <c r="C68" s="192"/>
      <c r="D68" s="115">
        <f>SUM(D32+D34+D35+D36+D37+D38+D46)</f>
        <v>16302</v>
      </c>
      <c r="E68" s="115">
        <f>SUM(E32+E34+E35+E36+E37+E38+E46)</f>
        <v>14335</v>
      </c>
      <c r="F68" s="115">
        <f t="shared" ref="F68:W68" si="50">SUM(F32+F34+F35+F36+F37+F38+F46)</f>
        <v>8769</v>
      </c>
      <c r="G68" s="115">
        <f t="shared" si="50"/>
        <v>9521</v>
      </c>
      <c r="H68" s="115">
        <f t="shared" si="50"/>
        <v>48927</v>
      </c>
      <c r="I68" s="115">
        <f t="shared" si="50"/>
        <v>18290</v>
      </c>
      <c r="J68" s="115">
        <f t="shared" si="50"/>
        <v>0</v>
      </c>
      <c r="K68" s="115">
        <f t="shared" si="50"/>
        <v>15444</v>
      </c>
      <c r="L68" s="115">
        <f t="shared" si="50"/>
        <v>1789</v>
      </c>
      <c r="M68" s="115">
        <f t="shared" si="50"/>
        <v>9684</v>
      </c>
      <c r="N68" s="115">
        <f t="shared" si="50"/>
        <v>100</v>
      </c>
      <c r="O68" s="115">
        <f t="shared" si="50"/>
        <v>12332</v>
      </c>
      <c r="P68" s="115">
        <f t="shared" si="50"/>
        <v>385</v>
      </c>
      <c r="Q68" s="115">
        <f t="shared" si="50"/>
        <v>55750</v>
      </c>
      <c r="R68" s="115">
        <f t="shared" si="50"/>
        <v>2274</v>
      </c>
      <c r="S68" s="115">
        <f t="shared" si="50"/>
        <v>58736</v>
      </c>
      <c r="T68" s="115">
        <f t="shared" si="50"/>
        <v>55839</v>
      </c>
      <c r="U68" s="115">
        <f t="shared" si="50"/>
        <v>54817</v>
      </c>
      <c r="V68" s="115">
        <f t="shared" si="50"/>
        <v>51616</v>
      </c>
      <c r="W68" s="138">
        <f t="shared" si="50"/>
        <v>51616</v>
      </c>
      <c r="X68" s="139">
        <f t="shared" si="45"/>
        <v>1.1219482272113852</v>
      </c>
      <c r="Y68" s="115">
        <f t="shared" si="46"/>
        <v>293.03772553307817</v>
      </c>
      <c r="Z68" s="104">
        <f t="shared" si="0"/>
        <v>1.0773630973142658</v>
      </c>
      <c r="AA68" s="115">
        <f t="shared" si="6"/>
        <v>329.92157148407148</v>
      </c>
      <c r="AB68" s="104">
        <f t="shared" si="7"/>
        <v>1.1043448511802942</v>
      </c>
      <c r="AC68" s="115">
        <f t="shared" si="8"/>
        <v>516.52739054109873</v>
      </c>
      <c r="AD68" s="104">
        <f t="shared" si="9"/>
        <v>1.2952420964184435</v>
      </c>
      <c r="AE68" s="115">
        <f t="shared" si="10"/>
        <v>381.92993837171582</v>
      </c>
      <c r="AF68" s="104">
        <f t="shared" si="11"/>
        <v>1.1394526539538496</v>
      </c>
      <c r="AG68" s="115">
        <f t="shared" si="12"/>
        <v>337.93434977578477</v>
      </c>
    </row>
    <row r="69" spans="2:37" s="81" customFormat="1" ht="18" customHeight="1">
      <c r="B69" s="191" t="s">
        <v>108</v>
      </c>
      <c r="C69" s="192"/>
      <c r="D69" s="115">
        <f>SUM(D56:D57)</f>
        <v>44625</v>
      </c>
      <c r="E69" s="115">
        <f>SUM(E56:E57)</f>
        <v>40909</v>
      </c>
      <c r="F69" s="115">
        <f t="shared" ref="F69:W69" si="51">SUM(F56:F57)</f>
        <v>37097</v>
      </c>
      <c r="G69" s="115">
        <f t="shared" si="51"/>
        <v>42549</v>
      </c>
      <c r="H69" s="115">
        <f t="shared" si="51"/>
        <v>165180</v>
      </c>
      <c r="I69" s="115">
        <f t="shared" si="51"/>
        <v>49583</v>
      </c>
      <c r="J69" s="115">
        <f t="shared" si="51"/>
        <v>127</v>
      </c>
      <c r="K69" s="115">
        <f t="shared" si="51"/>
        <v>47686</v>
      </c>
      <c r="L69" s="115">
        <f t="shared" si="51"/>
        <v>22</v>
      </c>
      <c r="M69" s="115">
        <f t="shared" si="51"/>
        <v>40212</v>
      </c>
      <c r="N69" s="115">
        <f t="shared" si="51"/>
        <v>17</v>
      </c>
      <c r="O69" s="115">
        <f t="shared" si="51"/>
        <v>51664</v>
      </c>
      <c r="P69" s="115">
        <f t="shared" si="51"/>
        <v>21</v>
      </c>
      <c r="Q69" s="115">
        <f t="shared" si="51"/>
        <v>189145</v>
      </c>
      <c r="R69" s="115">
        <f t="shared" si="51"/>
        <v>187</v>
      </c>
      <c r="S69" s="115">
        <f t="shared" si="51"/>
        <v>96606</v>
      </c>
      <c r="T69" s="115">
        <f t="shared" si="51"/>
        <v>89867</v>
      </c>
      <c r="U69" s="115">
        <f t="shared" si="51"/>
        <v>86732</v>
      </c>
      <c r="V69" s="115">
        <f t="shared" si="51"/>
        <v>77192</v>
      </c>
      <c r="W69" s="138">
        <f t="shared" si="51"/>
        <v>77192</v>
      </c>
      <c r="X69" s="139">
        <f t="shared" si="45"/>
        <v>1.1111036414565827</v>
      </c>
      <c r="Y69" s="115">
        <f t="shared" si="46"/>
        <v>177.78870782324586</v>
      </c>
      <c r="Z69" s="104">
        <f t="shared" si="0"/>
        <v>1.1656603681341513</v>
      </c>
      <c r="AA69" s="115">
        <f t="shared" si="6"/>
        <v>171.96585475820996</v>
      </c>
      <c r="AB69" s="104">
        <f t="shared" si="7"/>
        <v>1.0839690541014098</v>
      </c>
      <c r="AC69" s="115">
        <f t="shared" si="8"/>
        <v>196.81425942504725</v>
      </c>
      <c r="AD69" s="104">
        <f t="shared" si="9"/>
        <v>1.2142236010247009</v>
      </c>
      <c r="AE69" s="115">
        <f t="shared" si="10"/>
        <v>136.33806906162897</v>
      </c>
      <c r="AF69" s="104">
        <f t="shared" si="11"/>
        <v>1.1450841506235623</v>
      </c>
      <c r="AG69" s="115">
        <f t="shared" si="12"/>
        <v>148.96021570752598</v>
      </c>
    </row>
    <row r="70" spans="2:37" s="81" customFormat="1" ht="18" customHeight="1">
      <c r="B70" s="191" t="s">
        <v>109</v>
      </c>
      <c r="C70" s="192"/>
      <c r="D70" s="115">
        <f t="shared" ref="D70:W70" si="52">D16</f>
        <v>128654</v>
      </c>
      <c r="E70" s="115">
        <f>E16</f>
        <v>123754</v>
      </c>
      <c r="F70" s="115">
        <f t="shared" si="52"/>
        <v>114550</v>
      </c>
      <c r="G70" s="115">
        <f t="shared" si="52"/>
        <v>123133</v>
      </c>
      <c r="H70" s="115">
        <f t="shared" si="52"/>
        <v>490091</v>
      </c>
      <c r="I70" s="115">
        <f t="shared" si="52"/>
        <v>127123</v>
      </c>
      <c r="J70" s="115">
        <f t="shared" si="52"/>
        <v>0</v>
      </c>
      <c r="K70" s="115">
        <f t="shared" si="52"/>
        <v>115527</v>
      </c>
      <c r="L70" s="115">
        <f t="shared" si="52"/>
        <v>0</v>
      </c>
      <c r="M70" s="115">
        <f t="shared" si="52"/>
        <v>107354</v>
      </c>
      <c r="N70" s="115">
        <f t="shared" si="52"/>
        <v>0</v>
      </c>
      <c r="O70" s="115">
        <f t="shared" si="52"/>
        <v>129163</v>
      </c>
      <c r="P70" s="115">
        <f t="shared" si="52"/>
        <v>0</v>
      </c>
      <c r="Q70" s="115">
        <f t="shared" si="52"/>
        <v>479167</v>
      </c>
      <c r="R70" s="115">
        <f t="shared" si="52"/>
        <v>0</v>
      </c>
      <c r="S70" s="115">
        <f t="shared" si="52"/>
        <v>33045</v>
      </c>
      <c r="T70" s="115">
        <f t="shared" si="52"/>
        <v>37557</v>
      </c>
      <c r="U70" s="115">
        <f t="shared" si="52"/>
        <v>47999</v>
      </c>
      <c r="V70" s="115">
        <f t="shared" si="52"/>
        <v>42009</v>
      </c>
      <c r="W70" s="138">
        <f t="shared" si="52"/>
        <v>42009</v>
      </c>
      <c r="X70" s="139">
        <f t="shared" si="45"/>
        <v>0.98809986475352496</v>
      </c>
      <c r="Y70" s="115">
        <f t="shared" si="46"/>
        <v>23.719989695019784</v>
      </c>
      <c r="Z70" s="104">
        <f t="shared" si="0"/>
        <v>0.93352134072434023</v>
      </c>
      <c r="AA70" s="115">
        <f t="shared" si="6"/>
        <v>29.664721233997245</v>
      </c>
      <c r="AB70" s="104">
        <f t="shared" si="7"/>
        <v>0.93718027062418163</v>
      </c>
      <c r="AC70" s="115">
        <f t="shared" si="8"/>
        <v>40.798747601393522</v>
      </c>
      <c r="AD70" s="104">
        <f t="shared" si="9"/>
        <v>1.0489714373888397</v>
      </c>
      <c r="AE70" s="115">
        <f t="shared" si="10"/>
        <v>29.678168283486755</v>
      </c>
      <c r="AF70" s="104">
        <f t="shared" si="11"/>
        <v>0.97771026197175626</v>
      </c>
      <c r="AG70" s="115">
        <f t="shared" si="12"/>
        <v>31.999876869650873</v>
      </c>
      <c r="AH70" s="81" t="s">
        <v>69</v>
      </c>
    </row>
    <row r="71" spans="2:37" s="85" customFormat="1" ht="35.1" customHeight="1">
      <c r="B71" s="193" t="s">
        <v>70</v>
      </c>
      <c r="C71" s="193"/>
      <c r="D71" s="99">
        <f>SUM(D64:D70)</f>
        <v>295283</v>
      </c>
      <c r="E71" s="99">
        <f t="shared" ref="E71:W71" si="53">SUM(E64:E70)</f>
        <v>297490</v>
      </c>
      <c r="F71" s="99">
        <f t="shared" si="53"/>
        <v>259463</v>
      </c>
      <c r="G71" s="99">
        <f t="shared" si="53"/>
        <v>280855</v>
      </c>
      <c r="H71" s="99">
        <f t="shared" si="53"/>
        <v>1133091</v>
      </c>
      <c r="I71" s="99">
        <f t="shared" si="53"/>
        <v>318740</v>
      </c>
      <c r="J71" s="99">
        <f t="shared" si="53"/>
        <v>940</v>
      </c>
      <c r="K71" s="99">
        <f t="shared" si="53"/>
        <v>297741</v>
      </c>
      <c r="L71" s="99">
        <f t="shared" si="53"/>
        <v>2622</v>
      </c>
      <c r="M71" s="99">
        <f t="shared" si="53"/>
        <v>252954</v>
      </c>
      <c r="N71" s="99">
        <f t="shared" si="53"/>
        <v>131</v>
      </c>
      <c r="O71" s="99">
        <f t="shared" si="53"/>
        <v>306828</v>
      </c>
      <c r="P71" s="99">
        <f t="shared" si="53"/>
        <v>2881</v>
      </c>
      <c r="Q71" s="99">
        <f t="shared" si="53"/>
        <v>1176263</v>
      </c>
      <c r="R71" s="99">
        <f t="shared" si="53"/>
        <v>6574</v>
      </c>
      <c r="S71" s="99">
        <f t="shared" si="53"/>
        <v>527469</v>
      </c>
      <c r="T71" s="99">
        <f t="shared" si="53"/>
        <v>521087</v>
      </c>
      <c r="U71" s="99">
        <f t="shared" si="53"/>
        <v>530648</v>
      </c>
      <c r="V71" s="99">
        <f t="shared" si="53"/>
        <v>501625</v>
      </c>
      <c r="W71" s="129">
        <f t="shared" si="53"/>
        <v>501625</v>
      </c>
      <c r="X71" s="136">
        <f t="shared" si="45"/>
        <v>1.0794390466095238</v>
      </c>
      <c r="Y71" s="89">
        <f t="shared" si="46"/>
        <v>151.00566684445002</v>
      </c>
      <c r="Z71" s="94">
        <f t="shared" si="0"/>
        <v>1.000843725839524</v>
      </c>
      <c r="AA71" s="89">
        <f t="shared" si="6"/>
        <v>159.69983559536644</v>
      </c>
      <c r="AB71" s="94">
        <f t="shared" si="7"/>
        <v>0.97491357149188906</v>
      </c>
      <c r="AC71" s="89">
        <f t="shared" si="8"/>
        <v>191.42464637839291</v>
      </c>
      <c r="AD71" s="94">
        <f t="shared" si="9"/>
        <v>1.0924783251143828</v>
      </c>
      <c r="AE71" s="89">
        <f>IFERROR((V71/O71)*91.25,0)</f>
        <v>149.18221690979962</v>
      </c>
      <c r="AF71" s="94">
        <f t="shared" si="11"/>
        <v>1.0381010880855994</v>
      </c>
      <c r="AG71" s="89">
        <f t="shared" si="12"/>
        <v>155.65662186092737</v>
      </c>
    </row>
    <row r="72" spans="2:37">
      <c r="AK72" s="81"/>
    </row>
  </sheetData>
  <sheetProtection sheet="1" objects="1" scenarios="1" selectLockedCells="1"/>
  <mergeCells count="37">
    <mergeCell ref="B69:C69"/>
    <mergeCell ref="B70:C70"/>
    <mergeCell ref="B71:C71"/>
    <mergeCell ref="AF62:AG62"/>
    <mergeCell ref="B64:C64"/>
    <mergeCell ref="B65:C65"/>
    <mergeCell ref="B66:C66"/>
    <mergeCell ref="B67:C67"/>
    <mergeCell ref="B68:C68"/>
    <mergeCell ref="B41:B45"/>
    <mergeCell ref="B48:B50"/>
    <mergeCell ref="X61:AG61"/>
    <mergeCell ref="X62:Y62"/>
    <mergeCell ref="Z62:AA62"/>
    <mergeCell ref="AB62:AC62"/>
    <mergeCell ref="AD62:AE62"/>
    <mergeCell ref="B58:C58"/>
    <mergeCell ref="B61:C63"/>
    <mergeCell ref="D61:H62"/>
    <mergeCell ref="I61:R62"/>
    <mergeCell ref="S61:W62"/>
    <mergeCell ref="B1:C1"/>
    <mergeCell ref="B60:C60"/>
    <mergeCell ref="X2:AG2"/>
    <mergeCell ref="X3:Y3"/>
    <mergeCell ref="Z3:AA3"/>
    <mergeCell ref="AB3:AC3"/>
    <mergeCell ref="AD3:AE3"/>
    <mergeCell ref="AF3:AG3"/>
    <mergeCell ref="B51:B56"/>
    <mergeCell ref="B2:C4"/>
    <mergeCell ref="D2:H3"/>
    <mergeCell ref="I2:R3"/>
    <mergeCell ref="S2:W3"/>
    <mergeCell ref="B5:B17"/>
    <mergeCell ref="B18:B31"/>
    <mergeCell ref="B32:B40"/>
  </mergeCells>
  <conditionalFormatting sqref="H5:H58">
    <cfRule type="expression" dxfId="3" priority="3">
      <formula>IF(OR(ISBLANK(H5),H5=0),FALSE,H5&lt;&gt;SUM(D5:G5))</formula>
    </cfRule>
  </conditionalFormatting>
  <conditionalFormatting sqref="Q8:Q58 Q5:R7">
    <cfRule type="expression" dxfId="2" priority="2">
      <formula>IF(OR(ISBLANK(Q5),Q5=0),FALSE,Q5&lt;&gt;SUM(O5,M5,K5,I5))</formula>
    </cfRule>
  </conditionalFormatting>
  <conditionalFormatting sqref="W64:W71">
    <cfRule type="expression" dxfId="1" priority="1">
      <formula>W64&lt;&gt;V64</formula>
    </cfRule>
  </conditionalFormatting>
  <printOptions horizontalCentered="1"/>
  <pageMargins left="0.27559055118110237" right="0.27559055118110237" top="0.94488188976377963" bottom="0.35433070866141736" header="0" footer="0"/>
  <pageSetup paperSize="8" scale="56" fitToHeight="0" orientation="landscape" r:id="rId1"/>
  <headerFooter>
    <oddHeader>&amp;LOdjel za statistiku, analitiku, evidencije I strateški razvoj pravosuđa&amp;R&amp;D</oddHeader>
    <oddFooter>Page &amp;P of &amp;N</oddFooter>
  </headerFooter>
  <rowBreaks count="1" manualBreakCount="1">
    <brk id="59" max="33" man="1"/>
  </rowBreaks>
  <ignoredErrors>
    <ignoredError sqref="D30:G30 D50:G50 I30:U30 I50:W50" formulaRange="1"/>
    <ignoredError sqref="H5:H7 H9:H16 Q5:R7 Q9:R9 Q18:R19 Q21:R29 Q32:R39 Q41:R44 Q48:R49 Q54:R54 Q55:R55 Q11:R16 R10" unlockedFormula="1"/>
    <ignoredError sqref="H8 H18:H19 H21:H29 H32:H39 H41:H44 H46:H47 H48:H49 H54:H55 H57 Q46:R47 Q57:R57" formula="1" unlockedFormula="1"/>
    <ignoredError sqref="H50 H30" formula="1" formulaRange="1"/>
    <ignoredError sqref="H17 H31 H51:H53 H20 H40 H45 H56 H58 Q8:R8 Q17:R17 Q20:R20 Q40:R40 Q45:R45 Q56:R56"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pageSetUpPr fitToPage="1"/>
  </sheetPr>
  <dimension ref="A1:AD70"/>
  <sheetViews>
    <sheetView showGridLines="0" showRowColHeaders="0" tabSelected="1" zoomScale="80" zoomScaleNormal="80" workbookViewId="0">
      <selection activeCell="U25" sqref="U25"/>
    </sheetView>
  </sheetViews>
  <sheetFormatPr defaultRowHeight="12.75"/>
  <cols>
    <col min="1" max="1" width="2.28515625" style="31" customWidth="1"/>
    <col min="2" max="3" width="9.140625" style="35"/>
    <col min="4" max="4" width="9.140625" style="35" customWidth="1"/>
    <col min="5" max="6" width="9.140625" style="35"/>
    <col min="7" max="10" width="9.140625" style="35" customWidth="1"/>
    <col min="11" max="15" width="9.140625" style="35"/>
    <col min="16" max="16" width="9.140625" style="35" customWidth="1"/>
    <col min="17" max="17" width="9.140625" style="35"/>
    <col min="18" max="18" width="2.28515625" style="31" customWidth="1"/>
    <col min="19" max="19" width="9.140625" customWidth="1"/>
    <col min="20" max="20" width="14.42578125" customWidth="1"/>
    <col min="23" max="29" width="9.140625" customWidth="1"/>
  </cols>
  <sheetData>
    <row r="1" spans="1:30" s="36" customFormat="1" ht="5.25" customHeight="1" thickBot="1">
      <c r="A1" s="57"/>
      <c r="B1" s="35"/>
      <c r="C1" s="35"/>
      <c r="D1" s="35"/>
      <c r="E1" s="35"/>
      <c r="F1" s="35"/>
      <c r="G1" s="35"/>
      <c r="H1" s="35"/>
      <c r="I1" s="35"/>
      <c r="J1" s="35"/>
      <c r="K1" s="35"/>
      <c r="L1" s="35"/>
      <c r="M1" s="35"/>
      <c r="N1" s="35"/>
      <c r="O1" s="35"/>
      <c r="P1" s="35"/>
      <c r="Q1" s="35"/>
      <c r="R1" s="35"/>
    </row>
    <row r="2" spans="1:30" s="36" customFormat="1" ht="30.75" customHeight="1" thickBot="1">
      <c r="A2" s="35"/>
      <c r="B2" s="230" t="s">
        <v>156</v>
      </c>
      <c r="C2" s="230"/>
      <c r="D2" s="230"/>
      <c r="E2" s="231" t="s">
        <v>155</v>
      </c>
      <c r="F2" s="231"/>
      <c r="G2" s="50"/>
      <c r="H2" s="231" t="s">
        <v>154</v>
      </c>
      <c r="I2" s="231"/>
      <c r="J2" s="50"/>
      <c r="K2" s="50"/>
      <c r="L2" s="50"/>
      <c r="M2" s="50"/>
      <c r="N2" s="50"/>
      <c r="O2" s="50"/>
      <c r="P2" s="50"/>
      <c r="Q2" s="50"/>
      <c r="R2" s="50"/>
      <c r="S2" s="50"/>
      <c r="T2" s="50"/>
      <c r="U2" s="50"/>
      <c r="V2" s="50"/>
      <c r="W2" s="50"/>
      <c r="X2"/>
      <c r="Y2"/>
      <c r="Z2"/>
      <c r="AA2"/>
      <c r="AB2"/>
      <c r="AC2"/>
      <c r="AD2"/>
    </row>
    <row r="3" spans="1:30" s="36" customFormat="1" ht="5.25" customHeight="1">
      <c r="A3" s="35"/>
      <c r="B3" s="47"/>
      <c r="C3" s="35"/>
      <c r="D3" s="35"/>
      <c r="E3" s="48"/>
      <c r="F3" s="48"/>
      <c r="G3" s="35"/>
      <c r="H3" s="48"/>
      <c r="I3" s="48"/>
      <c r="J3" s="35"/>
      <c r="K3" s="35"/>
      <c r="L3" s="35"/>
      <c r="M3" s="35"/>
      <c r="N3" s="35"/>
      <c r="O3" s="35"/>
      <c r="P3" s="35"/>
      <c r="Q3" s="35"/>
      <c r="R3" s="35"/>
    </row>
    <row r="4" spans="1:30" ht="51" customHeight="1">
      <c r="B4" s="235" t="str">
        <f ca="1">U4</f>
        <v>Kretanje indikatora CR i DT na Sudovima - Q4 2016</v>
      </c>
      <c r="C4" s="235"/>
      <c r="D4" s="235"/>
      <c r="E4" s="235"/>
      <c r="F4" s="235"/>
      <c r="G4" s="235"/>
      <c r="H4" s="235"/>
      <c r="I4" s="235"/>
      <c r="J4" s="235"/>
      <c r="K4" s="235"/>
      <c r="L4" s="235"/>
      <c r="M4" s="235"/>
      <c r="N4" s="235"/>
      <c r="O4" s="235"/>
      <c r="P4" s="235"/>
      <c r="Q4" s="235"/>
      <c r="S4" s="255" t="str">
        <f>INDEX(Translation!Active_lvl0,ROW(A1),COLUMN(A1))</f>
        <v>Naslov grafa</v>
      </c>
      <c r="T4" s="255"/>
      <c r="U4" s="257" t="str">
        <f ca="1">INDEX(Translation!Active_lvl0,ROW(C1),COLUMN(C1))</f>
        <v>Kretanje indikatora CR i DT na Sudovima - Q4 2016</v>
      </c>
      <c r="V4" s="257"/>
    </row>
    <row r="5" spans="1:30" ht="12.75" customHeight="1">
      <c r="B5" s="239"/>
      <c r="C5" s="239"/>
      <c r="D5" s="239"/>
      <c r="E5" s="239"/>
      <c r="F5" s="239"/>
      <c r="G5" s="239"/>
      <c r="H5" s="239"/>
      <c r="I5" s="239"/>
      <c r="J5" s="239"/>
      <c r="K5" s="239"/>
      <c r="L5" s="239"/>
      <c r="M5" s="239"/>
      <c r="N5" s="239"/>
      <c r="O5" s="239"/>
      <c r="P5" s="239"/>
      <c r="Q5" s="239"/>
      <c r="S5" s="254" t="str">
        <f>INDEX(Translation!Active_lvl0,ROW(A2),COLUMN(A2))</f>
        <v>Y Os naslov</v>
      </c>
      <c r="T5" s="254"/>
      <c r="U5" s="51" t="str">
        <f>INDEX(Translation!Active_lvl0,ROW(C2),COLUMN(C2))</f>
        <v>Serija 1</v>
      </c>
      <c r="V5" s="51" t="str">
        <f>INDEX(Translation!Active_lvl0,ROW(D2),COLUMN(D2))</f>
        <v>Serija 2</v>
      </c>
    </row>
    <row r="6" spans="1:30" ht="12.75" customHeight="1">
      <c r="B6" s="239"/>
      <c r="C6" s="239"/>
      <c r="D6" s="239"/>
      <c r="E6" s="239"/>
      <c r="F6" s="239"/>
      <c r="G6" s="239"/>
      <c r="H6" s="239"/>
      <c r="I6" s="239"/>
      <c r="J6" s="239"/>
      <c r="K6" s="239"/>
      <c r="L6" s="239"/>
      <c r="M6" s="239"/>
      <c r="N6" s="239"/>
      <c r="O6" s="239"/>
      <c r="P6" s="239"/>
      <c r="Q6" s="239"/>
      <c r="S6" s="240" t="str">
        <f>INDEX(Translation!Active_lvl0,ROW(A3),COLUMN(A3))</f>
        <v>Vrsta suda</v>
      </c>
      <c r="T6" s="241"/>
      <c r="U6" s="257" t="str">
        <f>INDEX(Translation!Active_lvl0,ROW(C3),COLUMN(C3))</f>
        <v>Clearance Rate (stopa rješavanja u %)</v>
      </c>
      <c r="V6" s="257" t="str">
        <f>INDEX(Translation!Active_lvl0,ROW(D3),COLUMN(D3))</f>
        <v>Disposition Time (vrijeme rješavanja u danima)</v>
      </c>
    </row>
    <row r="7" spans="1:30" ht="12.75" customHeight="1">
      <c r="B7" s="239"/>
      <c r="C7" s="239"/>
      <c r="D7" s="239"/>
      <c r="E7" s="239"/>
      <c r="F7" s="239"/>
      <c r="G7" s="239"/>
      <c r="H7" s="239"/>
      <c r="I7" s="239"/>
      <c r="J7" s="239"/>
      <c r="K7" s="239"/>
      <c r="L7" s="239"/>
      <c r="M7" s="239"/>
      <c r="N7" s="239"/>
      <c r="O7" s="239"/>
      <c r="P7" s="239"/>
      <c r="Q7" s="239"/>
      <c r="S7" s="242"/>
      <c r="T7" s="243"/>
      <c r="U7" s="257"/>
      <c r="V7" s="257"/>
    </row>
    <row r="8" spans="1:30" ht="12.75" customHeight="1">
      <c r="B8" s="239"/>
      <c r="C8" s="239"/>
      <c r="D8" s="239"/>
      <c r="E8" s="239"/>
      <c r="F8" s="239"/>
      <c r="G8" s="239"/>
      <c r="H8" s="239"/>
      <c r="I8" s="239"/>
      <c r="J8" s="239"/>
      <c r="K8" s="239"/>
      <c r="L8" s="239"/>
      <c r="M8" s="239"/>
      <c r="N8" s="239"/>
      <c r="O8" s="239"/>
      <c r="P8" s="239"/>
      <c r="Q8" s="239"/>
      <c r="S8" s="242"/>
      <c r="T8" s="243"/>
      <c r="U8" s="257"/>
      <c r="V8" s="257"/>
    </row>
    <row r="9" spans="1:30" ht="12.75" customHeight="1">
      <c r="B9" s="239"/>
      <c r="C9" s="239"/>
      <c r="D9" s="239"/>
      <c r="E9" s="239"/>
      <c r="F9" s="239"/>
      <c r="G9" s="239"/>
      <c r="H9" s="239"/>
      <c r="I9" s="239"/>
      <c r="J9" s="239"/>
      <c r="K9" s="239"/>
      <c r="L9" s="239"/>
      <c r="M9" s="239"/>
      <c r="N9" s="239"/>
      <c r="O9" s="239"/>
      <c r="P9" s="239"/>
      <c r="Q9" s="239"/>
      <c r="S9" s="242"/>
      <c r="T9" s="243"/>
      <c r="U9" s="257"/>
      <c r="V9" s="257"/>
    </row>
    <row r="10" spans="1:30" ht="12.75" customHeight="1">
      <c r="B10" s="239"/>
      <c r="C10" s="239"/>
      <c r="D10" s="239"/>
      <c r="E10" s="239"/>
      <c r="F10" s="239"/>
      <c r="G10" s="239"/>
      <c r="H10" s="239"/>
      <c r="I10" s="239"/>
      <c r="J10" s="239"/>
      <c r="K10" s="239"/>
      <c r="L10" s="239"/>
      <c r="M10" s="239"/>
      <c r="N10" s="239"/>
      <c r="O10" s="239"/>
      <c r="P10" s="239"/>
      <c r="Q10" s="239"/>
      <c r="S10" s="244"/>
      <c r="T10" s="245"/>
      <c r="U10" s="257"/>
      <c r="V10" s="257"/>
    </row>
    <row r="11" spans="1:30">
      <c r="B11" s="239"/>
      <c r="C11" s="239"/>
      <c r="D11" s="239"/>
      <c r="E11" s="239"/>
      <c r="F11" s="239"/>
      <c r="G11" s="239"/>
      <c r="H11" s="239"/>
      <c r="I11" s="239"/>
      <c r="J11" s="239"/>
      <c r="K11" s="239"/>
      <c r="L11" s="239"/>
      <c r="M11" s="239"/>
      <c r="N11" s="239"/>
      <c r="O11" s="239"/>
      <c r="P11" s="239"/>
      <c r="Q11" s="239"/>
      <c r="S11" s="256" t="str">
        <f ca="1">IFERROR(INDEX(Translation!Active_lvl0,ROW(A8),COLUMN(A8)),"")</f>
        <v>Općinski sudovi</v>
      </c>
      <c r="T11" s="256"/>
      <c r="U11" s="45">
        <f ca="1">IFERROR(INDEX(Translation!Active_lvl0,ROW(C8),COLUMN(C8)),"")</f>
        <v>1.0624214016234137</v>
      </c>
      <c r="V11" s="46">
        <f ca="1">IFERROR(INDEX(Translation!Active_lvl0,ROW(D8),COLUMN(D8)),"")</f>
        <v>123.53302976995307</v>
      </c>
    </row>
    <row r="12" spans="1:30">
      <c r="B12" s="239"/>
      <c r="C12" s="239"/>
      <c r="D12" s="239"/>
      <c r="E12" s="239"/>
      <c r="F12" s="239"/>
      <c r="G12" s="239"/>
      <c r="H12" s="239"/>
      <c r="I12" s="239"/>
      <c r="J12" s="239"/>
      <c r="K12" s="239"/>
      <c r="L12" s="239"/>
      <c r="M12" s="239"/>
      <c r="N12" s="239"/>
      <c r="O12" s="239"/>
      <c r="P12" s="239"/>
      <c r="Q12" s="239"/>
      <c r="S12" s="256" t="str">
        <f ca="1">IFERROR(INDEX(Translation!Active_lvl0,ROW(A9),COLUMN(A9)),"")</f>
        <v>Županijski sudovi</v>
      </c>
      <c r="T12" s="256"/>
      <c r="U12" s="45">
        <f ca="1">IFERROR(INDEX(Translation!Active_lvl0,ROW(C9),COLUMN(C9)),"")</f>
        <v>1.0081790298761786</v>
      </c>
      <c r="V12" s="46">
        <f ca="1">IFERROR(INDEX(Translation!Active_lvl0,ROW(D9),COLUMN(D9)),"")</f>
        <v>189.4744131455399</v>
      </c>
    </row>
    <row r="13" spans="1:30">
      <c r="B13" s="239"/>
      <c r="C13" s="239"/>
      <c r="D13" s="239"/>
      <c r="E13" s="239"/>
      <c r="F13" s="239"/>
      <c r="G13" s="239"/>
      <c r="H13" s="239"/>
      <c r="I13" s="239"/>
      <c r="J13" s="239"/>
      <c r="K13" s="239"/>
      <c r="L13" s="239"/>
      <c r="M13" s="239"/>
      <c r="N13" s="239"/>
      <c r="O13" s="239"/>
      <c r="P13" s="239"/>
      <c r="Q13" s="239"/>
      <c r="S13" s="256" t="str">
        <f ca="1">IFERROR(INDEX(Translation!Active_lvl0,ROW(A10),COLUMN(A10)),"")</f>
        <v>Trgovački sudovi</v>
      </c>
      <c r="T13" s="256"/>
      <c r="U13" s="45">
        <f ca="1">IFERROR(INDEX(Translation!Active_lvl0,ROW(C10),COLUMN(C10)),"")</f>
        <v>1.0358106850335072</v>
      </c>
      <c r="V13" s="46">
        <f ca="1">IFERROR(INDEX(Translation!Active_lvl0,ROW(D10),COLUMN(D10)),"")</f>
        <v>79.31770189823655</v>
      </c>
    </row>
    <row r="14" spans="1:30">
      <c r="B14" s="239"/>
      <c r="C14" s="239"/>
      <c r="D14" s="239"/>
      <c r="E14" s="239"/>
      <c r="F14" s="239"/>
      <c r="G14" s="239"/>
      <c r="H14" s="239"/>
      <c r="I14" s="239"/>
      <c r="J14" s="239"/>
      <c r="K14" s="239"/>
      <c r="L14" s="239"/>
      <c r="M14" s="239"/>
      <c r="N14" s="239"/>
      <c r="O14" s="239"/>
      <c r="P14" s="239"/>
      <c r="Q14" s="239"/>
      <c r="S14" s="256" t="str">
        <f ca="1">IFERROR(INDEX(Translation!Active_lvl0,ROW(A11),COLUMN(A11)),"")</f>
        <v>Upravni sudovi</v>
      </c>
      <c r="T14" s="256"/>
      <c r="U14" s="45">
        <f ca="1">IFERROR(INDEX(Translation!Active_lvl0,ROW(C11),COLUMN(C11)),"")</f>
        <v>1.1265822784810127</v>
      </c>
      <c r="V14" s="46">
        <f ca="1">IFERROR(INDEX(Translation!Active_lvl0,ROW(D11),COLUMN(D11)),"")</f>
        <v>334.26598448368111</v>
      </c>
    </row>
    <row r="15" spans="1:30">
      <c r="B15" s="239"/>
      <c r="C15" s="239"/>
      <c r="D15" s="239"/>
      <c r="E15" s="239"/>
      <c r="F15" s="239"/>
      <c r="G15" s="239"/>
      <c r="H15" s="239"/>
      <c r="I15" s="239"/>
      <c r="J15" s="239"/>
      <c r="K15" s="239"/>
      <c r="L15" s="239"/>
      <c r="M15" s="239"/>
      <c r="N15" s="239"/>
      <c r="O15" s="239"/>
      <c r="P15" s="239"/>
      <c r="Q15" s="239"/>
      <c r="S15" s="256" t="str">
        <f ca="1">IFERROR(INDEX(Translation!Active_lvl0,ROW(A12),COLUMN(A12)),"")</f>
        <v>Visoki trgovački sud RH</v>
      </c>
      <c r="T15" s="256"/>
      <c r="U15" s="45">
        <f ca="1">IFERROR(INDEX(Translation!Active_lvl0,ROW(C12),COLUMN(C12)),"")</f>
        <v>1.9092815941269008</v>
      </c>
      <c r="V15" s="46">
        <f ca="1">IFERROR(INDEX(Translation!Active_lvl0,ROW(D12),COLUMN(D12)),"")</f>
        <v>405.85072782202695</v>
      </c>
    </row>
    <row r="16" spans="1:30">
      <c r="B16" s="239"/>
      <c r="C16" s="239"/>
      <c r="D16" s="239"/>
      <c r="E16" s="239"/>
      <c r="F16" s="239"/>
      <c r="G16" s="239"/>
      <c r="H16" s="239"/>
      <c r="I16" s="239"/>
      <c r="J16" s="239"/>
      <c r="K16" s="239"/>
      <c r="L16" s="239"/>
      <c r="M16" s="239"/>
      <c r="N16" s="239"/>
      <c r="O16" s="239"/>
      <c r="P16" s="239"/>
      <c r="Q16" s="239"/>
      <c r="S16" s="256" t="str">
        <f ca="1">IFERROR(INDEX(Translation!Active_lvl0,ROW(A13),COLUMN(A13)),"")</f>
        <v>Visoki upravni sud RH</v>
      </c>
      <c r="T16" s="256"/>
      <c r="U16" s="45">
        <f ca="1">IFERROR(INDEX(Translation!Active_lvl0,ROW(C13),COLUMN(C13)),"")</f>
        <v>0.95894160583941601</v>
      </c>
      <c r="V16" s="46">
        <f ca="1">IFERROR(INDEX(Translation!Active_lvl0,ROW(D13),COLUMN(D13)),"")</f>
        <v>122.59276879162702</v>
      </c>
    </row>
    <row r="17" spans="2:22">
      <c r="B17" s="239"/>
      <c r="C17" s="239"/>
      <c r="D17" s="239"/>
      <c r="E17" s="239"/>
      <c r="F17" s="239"/>
      <c r="G17" s="239"/>
      <c r="H17" s="239"/>
      <c r="I17" s="239"/>
      <c r="J17" s="239"/>
      <c r="K17" s="239"/>
      <c r="L17" s="239"/>
      <c r="M17" s="239"/>
      <c r="N17" s="239"/>
      <c r="O17" s="239"/>
      <c r="P17" s="239"/>
      <c r="Q17" s="239"/>
      <c r="S17" s="256" t="str">
        <f ca="1">IFERROR(INDEX(Translation!Active_lvl0,ROW(A14),COLUMN(A14)),"")</f>
        <v>Vrhovni sud RH</v>
      </c>
      <c r="T17" s="256"/>
      <c r="U17" s="45">
        <f ca="1">IFERROR(INDEX(Translation!Active_lvl0,ROW(C14),COLUMN(C14)),"")</f>
        <v>1.3150450064294898</v>
      </c>
      <c r="V17" s="46">
        <f ca="1">IFERROR(INDEX(Translation!Active_lvl0,ROW(D14),COLUMN(D14)),"")</f>
        <v>508.71577574967409</v>
      </c>
    </row>
    <row r="18" spans="2:22">
      <c r="B18" s="239"/>
      <c r="C18" s="239"/>
      <c r="D18" s="239"/>
      <c r="E18" s="239"/>
      <c r="F18" s="239"/>
      <c r="G18" s="239"/>
      <c r="H18" s="239"/>
      <c r="I18" s="239"/>
      <c r="J18" s="239"/>
      <c r="K18" s="239"/>
      <c r="L18" s="239"/>
      <c r="M18" s="239"/>
      <c r="N18" s="239"/>
      <c r="O18" s="239"/>
      <c r="P18" s="239"/>
      <c r="Q18" s="239"/>
      <c r="S18" s="256" t="str">
        <f ca="1">IFERROR(INDEX(Translation!Active_lvl0,ROW(A15),COLUMN(A15)),"")</f>
        <v>Prekršajni sudovi</v>
      </c>
      <c r="T18" s="256"/>
      <c r="U18" s="45">
        <f ca="1">IFERROR(INDEX(Translation!Active_lvl0,ROW(C15),COLUMN(C15)),"")</f>
        <v>1.1412905195664342</v>
      </c>
      <c r="V18" s="46">
        <f ca="1">IFERROR(INDEX(Translation!Active_lvl0,ROW(D15),COLUMN(D15)),"")</f>
        <v>114.9784583658455</v>
      </c>
    </row>
    <row r="19" spans="2:22">
      <c r="B19" s="239"/>
      <c r="C19" s="239"/>
      <c r="D19" s="239"/>
      <c r="E19" s="239"/>
      <c r="F19" s="239"/>
      <c r="G19" s="239"/>
      <c r="H19" s="239"/>
      <c r="I19" s="239"/>
      <c r="J19" s="239"/>
      <c r="K19" s="239"/>
      <c r="L19" s="239"/>
      <c r="M19" s="239"/>
      <c r="N19" s="239"/>
      <c r="O19" s="239"/>
      <c r="P19" s="239"/>
      <c r="Q19" s="239"/>
      <c r="S19" s="256" t="str">
        <f ca="1">IFERROR(INDEX(Translation!Active_lvl0,ROW(A16),COLUMN(A16)),"")</f>
        <v>Visoki prekršajni sud RH</v>
      </c>
      <c r="T19" s="256"/>
      <c r="U19" s="45">
        <f ca="1">IFERROR(INDEX(Translation!Active_lvl0,ROW(C16),COLUMN(C16)),"")</f>
        <v>2.0970126270403449</v>
      </c>
      <c r="V19" s="46">
        <f ca="1">IFERROR(INDEX(Translation!Active_lvl0,ROW(D16),COLUMN(D16)),"")</f>
        <v>277.04673960934059</v>
      </c>
    </row>
    <row r="20" spans="2:22">
      <c r="B20" s="239"/>
      <c r="C20" s="239"/>
      <c r="D20" s="239"/>
      <c r="E20" s="239"/>
      <c r="F20" s="239"/>
      <c r="G20" s="239"/>
      <c r="H20" s="239"/>
      <c r="I20" s="239"/>
      <c r="J20" s="239"/>
      <c r="K20" s="239"/>
      <c r="L20" s="239"/>
      <c r="M20" s="239"/>
      <c r="N20" s="239"/>
      <c r="O20" s="239"/>
      <c r="P20" s="239"/>
      <c r="Q20" s="239"/>
    </row>
    <row r="21" spans="2:22">
      <c r="B21" s="239"/>
      <c r="C21" s="239"/>
      <c r="D21" s="239"/>
      <c r="E21" s="239"/>
      <c r="F21" s="239"/>
      <c r="G21" s="239"/>
      <c r="H21" s="239"/>
      <c r="I21" s="239"/>
      <c r="J21" s="239"/>
      <c r="K21" s="239"/>
      <c r="L21" s="239"/>
      <c r="M21" s="239"/>
      <c r="N21" s="239"/>
      <c r="O21" s="239"/>
      <c r="P21" s="239"/>
      <c r="Q21" s="239"/>
    </row>
    <row r="22" spans="2:22">
      <c r="B22" s="239"/>
      <c r="C22" s="239"/>
      <c r="D22" s="239"/>
      <c r="E22" s="239"/>
      <c r="F22" s="239"/>
      <c r="G22" s="239"/>
      <c r="H22" s="239"/>
      <c r="I22" s="239"/>
      <c r="J22" s="239"/>
      <c r="K22" s="239"/>
      <c r="L22" s="239"/>
      <c r="M22" s="239"/>
      <c r="N22" s="239"/>
      <c r="O22" s="239"/>
      <c r="P22" s="239"/>
      <c r="Q22" s="239"/>
    </row>
    <row r="23" spans="2:22">
      <c r="B23" s="239"/>
      <c r="C23" s="239"/>
      <c r="D23" s="239"/>
      <c r="E23" s="239"/>
      <c r="F23" s="239"/>
      <c r="G23" s="239"/>
      <c r="H23" s="239"/>
      <c r="I23" s="239"/>
      <c r="J23" s="239"/>
      <c r="K23" s="239"/>
      <c r="L23" s="239"/>
      <c r="M23" s="239"/>
      <c r="N23" s="239"/>
      <c r="O23" s="239"/>
      <c r="P23" s="239"/>
      <c r="Q23" s="239"/>
    </row>
    <row r="24" spans="2:22">
      <c r="B24" s="239"/>
      <c r="C24" s="239"/>
      <c r="D24" s="239"/>
      <c r="E24" s="239"/>
      <c r="F24" s="239"/>
      <c r="G24" s="239"/>
      <c r="H24" s="239"/>
      <c r="I24" s="239"/>
      <c r="J24" s="239"/>
      <c r="K24" s="239"/>
      <c r="L24" s="239"/>
      <c r="M24" s="239"/>
      <c r="N24" s="239"/>
      <c r="O24" s="239"/>
      <c r="P24" s="239"/>
      <c r="Q24" s="239"/>
    </row>
    <row r="25" spans="2:22">
      <c r="B25" s="239"/>
      <c r="C25" s="239"/>
      <c r="D25" s="239"/>
      <c r="E25" s="239"/>
      <c r="F25" s="239"/>
      <c r="G25" s="239"/>
      <c r="H25" s="239"/>
      <c r="I25" s="239"/>
      <c r="J25" s="239"/>
      <c r="K25" s="239"/>
      <c r="L25" s="239"/>
      <c r="M25" s="239"/>
      <c r="N25" s="239"/>
      <c r="O25" s="239"/>
      <c r="P25" s="239"/>
      <c r="Q25" s="239"/>
      <c r="U25" t="s">
        <v>69</v>
      </c>
    </row>
    <row r="26" spans="2:22">
      <c r="B26" s="239"/>
      <c r="C26" s="239"/>
      <c r="D26" s="239"/>
      <c r="E26" s="239"/>
      <c r="F26" s="239"/>
      <c r="G26" s="239"/>
      <c r="H26" s="239"/>
      <c r="I26" s="239"/>
      <c r="J26" s="239"/>
      <c r="K26" s="239"/>
      <c r="L26" s="239"/>
      <c r="M26" s="239"/>
      <c r="N26" s="239"/>
      <c r="O26" s="239"/>
      <c r="P26" s="239"/>
      <c r="Q26" s="239"/>
    </row>
    <row r="27" spans="2:22">
      <c r="B27" s="239"/>
      <c r="C27" s="239"/>
      <c r="D27" s="239"/>
      <c r="E27" s="239"/>
      <c r="F27" s="239"/>
      <c r="G27" s="239"/>
      <c r="H27" s="239"/>
      <c r="I27" s="239"/>
      <c r="J27" s="239"/>
      <c r="K27" s="239"/>
      <c r="L27" s="239"/>
      <c r="M27" s="239"/>
      <c r="N27" s="239"/>
      <c r="O27" s="239"/>
      <c r="P27" s="239"/>
      <c r="Q27" s="239"/>
    </row>
    <row r="28" spans="2:22">
      <c r="B28" s="239"/>
      <c r="C28" s="239"/>
      <c r="D28" s="239"/>
      <c r="E28" s="239"/>
      <c r="F28" s="239"/>
      <c r="G28" s="239"/>
      <c r="H28" s="239"/>
      <c r="I28" s="239"/>
      <c r="J28" s="239"/>
      <c r="K28" s="239"/>
      <c r="L28" s="239"/>
      <c r="M28" s="239"/>
      <c r="N28" s="239"/>
      <c r="O28" s="239"/>
      <c r="P28" s="239"/>
      <c r="Q28" s="239"/>
    </row>
    <row r="29" spans="2:22">
      <c r="B29" s="239"/>
      <c r="C29" s="239"/>
      <c r="D29" s="239"/>
      <c r="E29" s="239"/>
      <c r="F29" s="239"/>
      <c r="G29" s="239"/>
      <c r="H29" s="239"/>
      <c r="I29" s="239"/>
      <c r="J29" s="239"/>
      <c r="K29" s="239"/>
      <c r="L29" s="239"/>
      <c r="M29" s="239"/>
      <c r="N29" s="239"/>
      <c r="O29" s="239"/>
      <c r="P29" s="239"/>
      <c r="Q29" s="239"/>
    </row>
    <row r="30" spans="2:22">
      <c r="B30" s="239"/>
      <c r="C30" s="239"/>
      <c r="D30" s="239"/>
      <c r="E30" s="239"/>
      <c r="F30" s="239"/>
      <c r="G30" s="239"/>
      <c r="H30" s="239"/>
      <c r="I30" s="239"/>
      <c r="J30" s="239"/>
      <c r="K30" s="239"/>
      <c r="L30" s="239"/>
      <c r="M30" s="239"/>
      <c r="N30" s="239"/>
      <c r="O30" s="239"/>
      <c r="P30" s="239"/>
      <c r="Q30" s="239"/>
    </row>
    <row r="31" spans="2:22">
      <c r="B31" s="239"/>
      <c r="C31" s="239"/>
      <c r="D31" s="239"/>
      <c r="E31" s="239"/>
      <c r="F31" s="239"/>
      <c r="G31" s="239"/>
      <c r="H31" s="239"/>
      <c r="I31" s="239"/>
      <c r="J31" s="239"/>
      <c r="K31" s="239"/>
      <c r="L31" s="239"/>
      <c r="M31" s="239"/>
      <c r="N31" s="239"/>
      <c r="O31" s="239"/>
      <c r="P31" s="239"/>
      <c r="Q31" s="239"/>
    </row>
    <row r="32" spans="2:22">
      <c r="B32" s="239"/>
      <c r="C32" s="239"/>
      <c r="D32" s="239"/>
      <c r="E32" s="239"/>
      <c r="F32" s="239"/>
      <c r="G32" s="239"/>
      <c r="H32" s="239"/>
      <c r="I32" s="239"/>
      <c r="J32" s="239"/>
      <c r="K32" s="239"/>
      <c r="L32" s="239"/>
      <c r="M32" s="239"/>
      <c r="N32" s="239"/>
      <c r="O32" s="239"/>
      <c r="P32" s="239"/>
      <c r="Q32" s="239"/>
    </row>
    <row r="33" spans="2:23">
      <c r="B33" s="239"/>
      <c r="C33" s="239"/>
      <c r="D33" s="239"/>
      <c r="E33" s="239"/>
      <c r="F33" s="239"/>
      <c r="G33" s="239"/>
      <c r="H33" s="239"/>
      <c r="I33" s="239"/>
      <c r="J33" s="239"/>
      <c r="K33" s="239"/>
      <c r="L33" s="239"/>
      <c r="M33" s="239"/>
      <c r="N33" s="239"/>
      <c r="O33" s="239"/>
      <c r="P33" s="239"/>
      <c r="Q33" s="239"/>
    </row>
    <row r="34" spans="2:23">
      <c r="B34" s="239"/>
      <c r="C34" s="239"/>
      <c r="D34" s="239"/>
      <c r="E34" s="239"/>
      <c r="F34" s="239"/>
      <c r="G34" s="239"/>
      <c r="H34" s="239"/>
      <c r="I34" s="239"/>
      <c r="J34" s="239"/>
      <c r="K34" s="239"/>
      <c r="L34" s="239"/>
      <c r="M34" s="239"/>
      <c r="N34" s="239"/>
      <c r="O34" s="239"/>
      <c r="P34" s="239"/>
      <c r="Q34" s="239"/>
    </row>
    <row r="35" spans="2:23">
      <c r="B35" s="239"/>
      <c r="C35" s="239"/>
      <c r="D35" s="239"/>
      <c r="E35" s="239"/>
      <c r="F35" s="239"/>
      <c r="G35" s="239"/>
      <c r="H35" s="239"/>
      <c r="I35" s="239"/>
      <c r="J35" s="239"/>
      <c r="K35" s="239"/>
      <c r="L35" s="239"/>
      <c r="M35" s="239"/>
      <c r="N35" s="239"/>
      <c r="O35" s="239"/>
      <c r="P35" s="239"/>
      <c r="Q35" s="239"/>
    </row>
    <row r="36" spans="2:23" ht="5.25" customHeight="1" thickBot="1"/>
    <row r="37" spans="2:23" ht="30.75" customHeight="1" thickBot="1">
      <c r="B37" s="253" t="s">
        <v>157</v>
      </c>
      <c r="C37" s="253"/>
      <c r="D37" s="253"/>
      <c r="E37" s="56" t="str">
        <f>Options!D12</f>
        <v>Odaberi vrstu suda</v>
      </c>
      <c r="F37" s="50"/>
      <c r="G37" s="50"/>
      <c r="H37" s="50"/>
      <c r="I37" s="50"/>
      <c r="J37" s="50"/>
      <c r="K37" s="50"/>
      <c r="L37" s="50"/>
      <c r="M37" s="50"/>
      <c r="N37" s="50"/>
      <c r="O37" s="50"/>
      <c r="P37" s="50"/>
      <c r="Q37" s="50"/>
      <c r="R37" s="50"/>
      <c r="S37" s="50"/>
      <c r="T37" s="50"/>
      <c r="U37" s="50"/>
      <c r="V37" s="50"/>
      <c r="W37" s="50"/>
    </row>
    <row r="38" spans="2:23" ht="5.25" customHeight="1">
      <c r="B38" s="236"/>
      <c r="C38" s="236"/>
      <c r="D38" s="236"/>
      <c r="E38" s="236"/>
      <c r="F38" s="236"/>
      <c r="G38" s="236"/>
      <c r="H38" s="236"/>
      <c r="I38" s="236"/>
      <c r="J38" s="236"/>
      <c r="K38" s="236"/>
      <c r="L38" s="236"/>
      <c r="M38" s="236"/>
      <c r="N38" s="236"/>
      <c r="O38" s="236"/>
      <c r="P38" s="236"/>
      <c r="Q38" s="236"/>
    </row>
    <row r="39" spans="2:23" ht="51" customHeight="1">
      <c r="B39" s="235" t="str">
        <f ca="1">U39</f>
        <v>Kretanje predmeta na općinskim sudovima</v>
      </c>
      <c r="C39" s="235"/>
      <c r="D39" s="235"/>
      <c r="E39" s="235"/>
      <c r="F39" s="235"/>
      <c r="G39" s="235"/>
      <c r="H39" s="235"/>
      <c r="I39" s="235"/>
      <c r="J39" s="235"/>
      <c r="K39" s="235"/>
      <c r="L39" s="235"/>
      <c r="M39" s="235"/>
      <c r="N39" s="235"/>
      <c r="O39" s="235"/>
      <c r="P39" s="235"/>
      <c r="Q39" s="235"/>
      <c r="S39" s="237" t="str">
        <f ca="1">INDEX(Translation!Active_lvl1,ROW(A1),COLUMN(A1))</f>
        <v>Naslov grafa</v>
      </c>
      <c r="T39" s="238"/>
      <c r="U39" s="232" t="str">
        <f ca="1">INDEX(Translation!Active_lvl1,ROW(C1),COLUMN(C1))</f>
        <v>Kretanje predmeta na općinskim sudovima</v>
      </c>
      <c r="V39" s="233"/>
      <c r="W39" s="234"/>
    </row>
    <row r="40" spans="2:23">
      <c r="B40" s="239"/>
      <c r="C40" s="239"/>
      <c r="D40" s="239"/>
      <c r="E40" s="239"/>
      <c r="F40" s="239"/>
      <c r="G40" s="239"/>
      <c r="H40" s="239"/>
      <c r="I40" s="239"/>
      <c r="J40" s="239"/>
      <c r="K40" s="239"/>
      <c r="L40" s="239"/>
      <c r="M40" s="239"/>
      <c r="N40" s="239"/>
      <c r="O40" s="239"/>
      <c r="P40" s="239"/>
      <c r="Q40" s="239"/>
      <c r="S40" s="251" t="str">
        <f ca="1">INDEX(Translation!Active_lvl1,ROW(A2),COLUMN(A2))</f>
        <v>Y Os naslov</v>
      </c>
      <c r="T40" s="252"/>
      <c r="U40" s="55" t="str">
        <f ca="1">INDEX(Translation!Active_lvl1,ROW(C2),COLUMN(C2))</f>
        <v>Serija 1</v>
      </c>
      <c r="V40" s="55" t="str">
        <f ca="1">INDEX(Translation!Active_lvl1,ROW(D2),COLUMN(D2))</f>
        <v>Serija 2</v>
      </c>
      <c r="W40" s="55" t="str">
        <f ca="1">INDEX(Translation!Active_lvl1,ROW(E2),COLUMN(E2))</f>
        <v>Serija 3</v>
      </c>
    </row>
    <row r="41" spans="2:23">
      <c r="B41" s="239"/>
      <c r="C41" s="239"/>
      <c r="D41" s="239"/>
      <c r="E41" s="239"/>
      <c r="F41" s="239"/>
      <c r="G41" s="239"/>
      <c r="H41" s="239"/>
      <c r="I41" s="239"/>
      <c r="J41" s="239"/>
      <c r="K41" s="239"/>
      <c r="L41" s="239"/>
      <c r="M41" s="239"/>
      <c r="N41" s="239"/>
      <c r="O41" s="239"/>
      <c r="P41" s="239"/>
      <c r="Q41" s="239"/>
      <c r="S41" s="240" t="str">
        <f ca="1">INDEX(Translation!Active_lvl1,ROW(A3),COLUMN(A3))</f>
        <v>Predmeti</v>
      </c>
      <c r="T41" s="241"/>
      <c r="U41" s="248" t="str">
        <f ca="1">INDEX(Translation!Active_lvl1,ROW(C3),COLUMN(C3))</f>
        <v>Primljeno</v>
      </c>
      <c r="V41" s="248" t="str">
        <f ca="1">INDEX(Translation!Active_lvl1,ROW(D3),COLUMN(D3))</f>
        <v>Riješeno</v>
      </c>
      <c r="W41" s="248" t="str">
        <f ca="1">INDEX(Translation!Active_lvl1,ROW(E3),COLUMN(E3))</f>
        <v>Neriješeno</v>
      </c>
    </row>
    <row r="42" spans="2:23">
      <c r="B42" s="239"/>
      <c r="C42" s="239"/>
      <c r="D42" s="239"/>
      <c r="E42" s="239"/>
      <c r="F42" s="239"/>
      <c r="G42" s="239"/>
      <c r="H42" s="239"/>
      <c r="I42" s="239"/>
      <c r="J42" s="239"/>
      <c r="K42" s="239"/>
      <c r="L42" s="239"/>
      <c r="M42" s="239"/>
      <c r="N42" s="239"/>
      <c r="O42" s="239"/>
      <c r="P42" s="239"/>
      <c r="Q42" s="239"/>
      <c r="S42" s="242"/>
      <c r="T42" s="243"/>
      <c r="U42" s="249"/>
      <c r="V42" s="249"/>
      <c r="W42" s="249"/>
    </row>
    <row r="43" spans="2:23">
      <c r="B43" s="239"/>
      <c r="C43" s="239"/>
      <c r="D43" s="239"/>
      <c r="E43" s="239"/>
      <c r="F43" s="239"/>
      <c r="G43" s="239"/>
      <c r="H43" s="239"/>
      <c r="I43" s="239"/>
      <c r="J43" s="239"/>
      <c r="K43" s="239"/>
      <c r="L43" s="239"/>
      <c r="M43" s="239"/>
      <c r="N43" s="239"/>
      <c r="O43" s="239"/>
      <c r="P43" s="239"/>
      <c r="Q43" s="239"/>
      <c r="S43" s="242"/>
      <c r="T43" s="243"/>
      <c r="U43" s="249"/>
      <c r="V43" s="249"/>
      <c r="W43" s="249"/>
    </row>
    <row r="44" spans="2:23">
      <c r="B44" s="239"/>
      <c r="C44" s="239"/>
      <c r="D44" s="239"/>
      <c r="E44" s="239"/>
      <c r="F44" s="239"/>
      <c r="G44" s="239"/>
      <c r="H44" s="239"/>
      <c r="I44" s="239"/>
      <c r="J44" s="239"/>
      <c r="K44" s="239"/>
      <c r="L44" s="239"/>
      <c r="M44" s="239"/>
      <c r="N44" s="239"/>
      <c r="O44" s="239"/>
      <c r="P44" s="239"/>
      <c r="Q44" s="239"/>
      <c r="S44" s="242"/>
      <c r="T44" s="243"/>
      <c r="U44" s="249"/>
      <c r="V44" s="249"/>
      <c r="W44" s="249"/>
    </row>
    <row r="45" spans="2:23">
      <c r="B45" s="239"/>
      <c r="C45" s="239"/>
      <c r="D45" s="239"/>
      <c r="E45" s="239"/>
      <c r="F45" s="239"/>
      <c r="G45" s="239"/>
      <c r="H45" s="239"/>
      <c r="I45" s="239"/>
      <c r="J45" s="239"/>
      <c r="K45" s="239"/>
      <c r="L45" s="239"/>
      <c r="M45" s="239"/>
      <c r="N45" s="239"/>
      <c r="O45" s="239"/>
      <c r="P45" s="239"/>
      <c r="Q45" s="239"/>
      <c r="S45" s="244"/>
      <c r="T45" s="245"/>
      <c r="U45" s="250"/>
      <c r="V45" s="250"/>
      <c r="W45" s="250"/>
    </row>
    <row r="46" spans="2:23">
      <c r="B46" s="239"/>
      <c r="C46" s="239"/>
      <c r="D46" s="239"/>
      <c r="E46" s="239"/>
      <c r="F46" s="239"/>
      <c r="G46" s="239"/>
      <c r="H46" s="239"/>
      <c r="I46" s="239"/>
      <c r="J46" s="239"/>
      <c r="K46" s="239"/>
      <c r="L46" s="239"/>
      <c r="M46" s="239"/>
      <c r="N46" s="239"/>
      <c r="O46" s="239"/>
      <c r="P46" s="239"/>
      <c r="Q46" s="239"/>
      <c r="S46" s="246" t="str">
        <f ca="1">INDEX(Translation!Active_lvl1,ROW(A8),COLUMN(A8))</f>
        <v>Q4 2016</v>
      </c>
      <c r="T46" s="247"/>
      <c r="U46" s="54">
        <f ca="1">INDEX(Translation!Active_lvl1,ROW(C8),COLUMN(C8))</f>
        <v>201181</v>
      </c>
      <c r="V46" s="54">
        <f ca="1">INDEX(Translation!Active_lvl1,ROW(D8),COLUMN(D8))</f>
        <v>213739</v>
      </c>
      <c r="W46" s="54">
        <f ca="1">INDEX(Translation!Active_lvl1,ROW(E8),COLUMN(E8))</f>
        <v>289357</v>
      </c>
    </row>
    <row r="47" spans="2:23">
      <c r="B47" s="239"/>
      <c r="C47" s="239"/>
      <c r="D47" s="239"/>
      <c r="E47" s="239"/>
      <c r="F47" s="239"/>
      <c r="G47" s="239"/>
      <c r="H47" s="239"/>
      <c r="I47" s="239"/>
      <c r="J47" s="239"/>
      <c r="K47" s="239"/>
      <c r="L47" s="239"/>
      <c r="M47" s="239"/>
      <c r="N47" s="239"/>
      <c r="O47" s="239"/>
      <c r="P47" s="239"/>
      <c r="Q47" s="239"/>
      <c r="S47" s="246" t="str">
        <f ca="1">INDEX(Translation!Active_lvl1,ROW(A9),COLUMN(A9))</f>
        <v>Q3 2016</v>
      </c>
      <c r="T47" s="247"/>
      <c r="U47" s="54">
        <f ca="1">INDEX(Translation!Active_lvl1,ROW(C9),COLUMN(C9))</f>
        <v>189407</v>
      </c>
      <c r="V47" s="54">
        <f ca="1">INDEX(Translation!Active_lvl1,ROW(D9),COLUMN(D9))</f>
        <v>179391</v>
      </c>
      <c r="W47" s="54">
        <f ca="1">INDEX(Translation!Active_lvl1,ROW(E9),COLUMN(E9))</f>
        <v>301985</v>
      </c>
    </row>
    <row r="48" spans="2:23">
      <c r="B48" s="239"/>
      <c r="C48" s="239"/>
      <c r="D48" s="239"/>
      <c r="E48" s="239"/>
      <c r="F48" s="239"/>
      <c r="G48" s="239"/>
      <c r="H48" s="239"/>
      <c r="I48" s="239"/>
      <c r="J48" s="239"/>
      <c r="K48" s="239"/>
      <c r="L48" s="239"/>
      <c r="M48" s="239"/>
      <c r="N48" s="239"/>
      <c r="O48" s="239"/>
      <c r="P48" s="239"/>
      <c r="Q48" s="239"/>
      <c r="S48" s="246" t="str">
        <f ca="1">INDEX(Translation!Active_lvl1,ROW(A10),COLUMN(A10))</f>
        <v>Q2 2016</v>
      </c>
      <c r="T48" s="247"/>
      <c r="U48" s="54">
        <f ca="1">INDEX(Translation!Active_lvl1,ROW(C10),COLUMN(C10))</f>
        <v>210085</v>
      </c>
      <c r="V48" s="54">
        <f ca="1">INDEX(Translation!Active_lvl1,ROW(D10),COLUMN(D10))</f>
        <v>202369</v>
      </c>
      <c r="W48" s="54">
        <f ca="1">INDEX(Translation!Active_lvl1,ROW(E10),COLUMN(E10))</f>
        <v>288775</v>
      </c>
    </row>
    <row r="49" spans="2:23">
      <c r="B49" s="239"/>
      <c r="C49" s="239"/>
      <c r="D49" s="239"/>
      <c r="E49" s="239"/>
      <c r="F49" s="239"/>
      <c r="G49" s="239"/>
      <c r="H49" s="239"/>
      <c r="I49" s="239"/>
      <c r="J49" s="239"/>
      <c r="K49" s="239"/>
      <c r="L49" s="239"/>
      <c r="M49" s="239"/>
      <c r="N49" s="239"/>
      <c r="O49" s="239"/>
      <c r="P49" s="239"/>
      <c r="Q49" s="239"/>
      <c r="S49" s="246" t="str">
        <f ca="1">INDEX(Translation!Active_lvl1,ROW(A11),COLUMN(A11))</f>
        <v>Q1 2016</v>
      </c>
      <c r="T49" s="247"/>
      <c r="U49" s="54">
        <f ca="1">INDEX(Translation!Active_lvl1,ROW(C11),COLUMN(C11))</f>
        <v>203949</v>
      </c>
      <c r="V49" s="54">
        <f ca="1">INDEX(Translation!Active_lvl1,ROW(D11),COLUMN(D11))</f>
        <v>217910</v>
      </c>
      <c r="W49" s="54">
        <f ca="1">INDEX(Translation!Active_lvl1,ROW(E11),COLUMN(E11))</f>
        <v>284642</v>
      </c>
    </row>
    <row r="50" spans="2:23">
      <c r="B50" s="239"/>
      <c r="C50" s="239"/>
      <c r="D50" s="239"/>
      <c r="E50" s="239"/>
      <c r="F50" s="239"/>
      <c r="G50" s="239"/>
      <c r="H50" s="239"/>
      <c r="I50" s="239"/>
      <c r="J50" s="239"/>
      <c r="K50" s="239"/>
      <c r="L50" s="239"/>
      <c r="M50" s="239"/>
      <c r="N50" s="239"/>
      <c r="O50" s="239"/>
      <c r="P50" s="239"/>
      <c r="Q50" s="239"/>
    </row>
    <row r="51" spans="2:23">
      <c r="B51" s="239"/>
      <c r="C51" s="239"/>
      <c r="D51" s="239"/>
      <c r="E51" s="239"/>
      <c r="F51" s="239"/>
      <c r="G51" s="239"/>
      <c r="H51" s="239"/>
      <c r="I51" s="239"/>
      <c r="J51" s="239"/>
      <c r="K51" s="239"/>
      <c r="L51" s="239"/>
      <c r="M51" s="239"/>
      <c r="N51" s="239"/>
      <c r="O51" s="239"/>
      <c r="P51" s="239"/>
      <c r="Q51" s="239"/>
    </row>
    <row r="52" spans="2:23">
      <c r="B52" s="239"/>
      <c r="C52" s="239"/>
      <c r="D52" s="239"/>
      <c r="E52" s="239"/>
      <c r="F52" s="239"/>
      <c r="G52" s="239"/>
      <c r="H52" s="239"/>
      <c r="I52" s="239"/>
      <c r="J52" s="239"/>
      <c r="K52" s="239"/>
      <c r="L52" s="239"/>
      <c r="M52" s="239"/>
      <c r="N52" s="239"/>
      <c r="O52" s="239"/>
      <c r="P52" s="239"/>
      <c r="Q52" s="239"/>
    </row>
    <row r="53" spans="2:23">
      <c r="B53" s="239"/>
      <c r="C53" s="239"/>
      <c r="D53" s="239"/>
      <c r="E53" s="239"/>
      <c r="F53" s="239"/>
      <c r="G53" s="239"/>
      <c r="H53" s="239"/>
      <c r="I53" s="239"/>
      <c r="J53" s="239"/>
      <c r="K53" s="239"/>
      <c r="L53" s="239"/>
      <c r="M53" s="239"/>
      <c r="N53" s="239"/>
      <c r="O53" s="239"/>
      <c r="P53" s="239"/>
      <c r="Q53" s="239"/>
    </row>
    <row r="54" spans="2:23">
      <c r="B54" s="239"/>
      <c r="C54" s="239"/>
      <c r="D54" s="239"/>
      <c r="E54" s="239"/>
      <c r="F54" s="239"/>
      <c r="G54" s="239"/>
      <c r="H54" s="239"/>
      <c r="I54" s="239"/>
      <c r="J54" s="239"/>
      <c r="K54" s="239"/>
      <c r="L54" s="239"/>
      <c r="M54" s="239"/>
      <c r="N54" s="239"/>
      <c r="O54" s="239"/>
      <c r="P54" s="239"/>
      <c r="Q54" s="239"/>
    </row>
    <row r="55" spans="2:23">
      <c r="B55" s="239"/>
      <c r="C55" s="239"/>
      <c r="D55" s="239"/>
      <c r="E55" s="239"/>
      <c r="F55" s="239"/>
      <c r="G55" s="239"/>
      <c r="H55" s="239"/>
      <c r="I55" s="239"/>
      <c r="J55" s="239"/>
      <c r="K55" s="239"/>
      <c r="L55" s="239"/>
      <c r="M55" s="239"/>
      <c r="N55" s="239"/>
      <c r="O55" s="239"/>
      <c r="P55" s="239"/>
      <c r="Q55" s="239"/>
    </row>
    <row r="56" spans="2:23">
      <c r="B56" s="239"/>
      <c r="C56" s="239"/>
      <c r="D56" s="239"/>
      <c r="E56" s="239"/>
      <c r="F56" s="239"/>
      <c r="G56" s="239"/>
      <c r="H56" s="239"/>
      <c r="I56" s="239"/>
      <c r="J56" s="239"/>
      <c r="K56" s="239"/>
      <c r="L56" s="239"/>
      <c r="M56" s="239"/>
      <c r="N56" s="239"/>
      <c r="O56" s="239"/>
      <c r="P56" s="239"/>
      <c r="Q56" s="239"/>
    </row>
    <row r="57" spans="2:23">
      <c r="B57" s="239"/>
      <c r="C57" s="239"/>
      <c r="D57" s="239"/>
      <c r="E57" s="239"/>
      <c r="F57" s="239"/>
      <c r="G57" s="239"/>
      <c r="H57" s="239"/>
      <c r="I57" s="239"/>
      <c r="J57" s="239"/>
      <c r="K57" s="239"/>
      <c r="L57" s="239"/>
      <c r="M57" s="239"/>
      <c r="N57" s="239"/>
      <c r="O57" s="239"/>
      <c r="P57" s="239"/>
      <c r="Q57" s="239"/>
    </row>
    <row r="58" spans="2:23">
      <c r="B58" s="239"/>
      <c r="C58" s="239"/>
      <c r="D58" s="239"/>
      <c r="E58" s="239"/>
      <c r="F58" s="239"/>
      <c r="G58" s="239"/>
      <c r="H58" s="239"/>
      <c r="I58" s="239"/>
      <c r="J58" s="239"/>
      <c r="K58" s="239"/>
      <c r="L58" s="239"/>
      <c r="M58" s="239"/>
      <c r="N58" s="239"/>
      <c r="O58" s="239"/>
      <c r="P58" s="239"/>
      <c r="Q58" s="239"/>
    </row>
    <row r="59" spans="2:23">
      <c r="B59" s="239"/>
      <c r="C59" s="239"/>
      <c r="D59" s="239"/>
      <c r="E59" s="239"/>
      <c r="F59" s="239"/>
      <c r="G59" s="239"/>
      <c r="H59" s="239"/>
      <c r="I59" s="239"/>
      <c r="J59" s="239"/>
      <c r="K59" s="239"/>
      <c r="L59" s="239"/>
      <c r="M59" s="239"/>
      <c r="N59" s="239"/>
      <c r="O59" s="239"/>
      <c r="P59" s="239"/>
      <c r="Q59" s="239"/>
    </row>
    <row r="60" spans="2:23">
      <c r="B60" s="239"/>
      <c r="C60" s="239"/>
      <c r="D60" s="239"/>
      <c r="E60" s="239"/>
      <c r="F60" s="239"/>
      <c r="G60" s="239"/>
      <c r="H60" s="239"/>
      <c r="I60" s="239"/>
      <c r="J60" s="239"/>
      <c r="K60" s="239"/>
      <c r="L60" s="239"/>
      <c r="M60" s="239"/>
      <c r="N60" s="239"/>
      <c r="O60" s="239"/>
      <c r="P60" s="239"/>
      <c r="Q60" s="239"/>
    </row>
    <row r="61" spans="2:23">
      <c r="B61" s="239"/>
      <c r="C61" s="239"/>
      <c r="D61" s="239"/>
      <c r="E61" s="239"/>
      <c r="F61" s="239"/>
      <c r="G61" s="239"/>
      <c r="H61" s="239"/>
      <c r="I61" s="239"/>
      <c r="J61" s="239"/>
      <c r="K61" s="239"/>
      <c r="L61" s="239"/>
      <c r="M61" s="239"/>
      <c r="N61" s="239"/>
      <c r="O61" s="239"/>
      <c r="P61" s="239"/>
      <c r="Q61" s="239"/>
    </row>
    <row r="62" spans="2:23">
      <c r="B62" s="239"/>
      <c r="C62" s="239"/>
      <c r="D62" s="239"/>
      <c r="E62" s="239"/>
      <c r="F62" s="239"/>
      <c r="G62" s="239"/>
      <c r="H62" s="239"/>
      <c r="I62" s="239"/>
      <c r="J62" s="239"/>
      <c r="K62" s="239"/>
      <c r="L62" s="239"/>
      <c r="M62" s="239"/>
      <c r="N62" s="239"/>
      <c r="O62" s="239"/>
      <c r="P62" s="239"/>
      <c r="Q62" s="239"/>
    </row>
    <row r="63" spans="2:23">
      <c r="B63" s="239"/>
      <c r="C63" s="239"/>
      <c r="D63" s="239"/>
      <c r="E63" s="239"/>
      <c r="F63" s="239"/>
      <c r="G63" s="239"/>
      <c r="H63" s="239"/>
      <c r="I63" s="239"/>
      <c r="J63" s="239"/>
      <c r="K63" s="239"/>
      <c r="L63" s="239"/>
      <c r="M63" s="239"/>
      <c r="N63" s="239"/>
      <c r="O63" s="239"/>
      <c r="P63" s="239"/>
      <c r="Q63" s="239"/>
    </row>
    <row r="64" spans="2:23">
      <c r="B64" s="239"/>
      <c r="C64" s="239"/>
      <c r="D64" s="239"/>
      <c r="E64" s="239"/>
      <c r="F64" s="239"/>
      <c r="G64" s="239"/>
      <c r="H64" s="239"/>
      <c r="I64" s="239"/>
      <c r="J64" s="239"/>
      <c r="K64" s="239"/>
      <c r="L64" s="239"/>
      <c r="M64" s="239"/>
      <c r="N64" s="239"/>
      <c r="O64" s="239"/>
      <c r="P64" s="239"/>
      <c r="Q64" s="239"/>
    </row>
    <row r="65" spans="2:17">
      <c r="B65" s="239"/>
      <c r="C65" s="239"/>
      <c r="D65" s="239"/>
      <c r="E65" s="239"/>
      <c r="F65" s="239"/>
      <c r="G65" s="239"/>
      <c r="H65" s="239"/>
      <c r="I65" s="239"/>
      <c r="J65" s="239"/>
      <c r="K65" s="239"/>
      <c r="L65" s="239"/>
      <c r="M65" s="239"/>
      <c r="N65" s="239"/>
      <c r="O65" s="239"/>
      <c r="P65" s="239"/>
      <c r="Q65" s="239"/>
    </row>
    <row r="66" spans="2:17">
      <c r="B66" s="239"/>
      <c r="C66" s="239"/>
      <c r="D66" s="239"/>
      <c r="E66" s="239"/>
      <c r="F66" s="239"/>
      <c r="G66" s="239"/>
      <c r="H66" s="239"/>
      <c r="I66" s="239"/>
      <c r="J66" s="239"/>
      <c r="K66" s="239"/>
      <c r="L66" s="239"/>
      <c r="M66" s="239"/>
      <c r="N66" s="239"/>
      <c r="O66" s="239"/>
      <c r="P66" s="239"/>
      <c r="Q66" s="239"/>
    </row>
    <row r="67" spans="2:17">
      <c r="B67" s="239"/>
      <c r="C67" s="239"/>
      <c r="D67" s="239"/>
      <c r="E67" s="239"/>
      <c r="F67" s="239"/>
      <c r="G67" s="239"/>
      <c r="H67" s="239"/>
      <c r="I67" s="239"/>
      <c r="J67" s="239"/>
      <c r="K67" s="239"/>
      <c r="L67" s="239"/>
      <c r="M67" s="239"/>
      <c r="N67" s="239"/>
      <c r="O67" s="239"/>
      <c r="P67" s="239"/>
      <c r="Q67" s="239"/>
    </row>
    <row r="68" spans="2:17">
      <c r="B68" s="239"/>
      <c r="C68" s="239"/>
      <c r="D68" s="239"/>
      <c r="E68" s="239"/>
      <c r="F68" s="239"/>
      <c r="G68" s="239"/>
      <c r="H68" s="239"/>
      <c r="I68" s="239"/>
      <c r="J68" s="239"/>
      <c r="K68" s="239"/>
      <c r="L68" s="239"/>
      <c r="M68" s="239"/>
      <c r="N68" s="239"/>
      <c r="O68" s="239"/>
      <c r="P68" s="239"/>
      <c r="Q68" s="239"/>
    </row>
    <row r="69" spans="2:17">
      <c r="B69" s="239"/>
      <c r="C69" s="239"/>
      <c r="D69" s="239"/>
      <c r="E69" s="239"/>
      <c r="F69" s="239"/>
      <c r="G69" s="239"/>
      <c r="H69" s="239"/>
      <c r="I69" s="239"/>
      <c r="J69" s="239"/>
      <c r="K69" s="239"/>
      <c r="L69" s="239"/>
      <c r="M69" s="239"/>
      <c r="N69" s="239"/>
      <c r="O69" s="239"/>
      <c r="P69" s="239"/>
      <c r="Q69" s="239"/>
    </row>
    <row r="70" spans="2:17">
      <c r="B70" s="239"/>
      <c r="C70" s="239"/>
      <c r="D70" s="239"/>
      <c r="E70" s="239"/>
      <c r="F70" s="239"/>
      <c r="G70" s="239"/>
      <c r="H70" s="239"/>
      <c r="I70" s="239"/>
      <c r="J70" s="239"/>
      <c r="K70" s="239"/>
      <c r="L70" s="239"/>
      <c r="M70" s="239"/>
      <c r="N70" s="239"/>
      <c r="O70" s="239"/>
      <c r="P70" s="239"/>
      <c r="Q70" s="239"/>
    </row>
  </sheetData>
  <sheetProtection formatColumns="0" formatRows="0" selectLockedCells="1"/>
  <mergeCells count="35">
    <mergeCell ref="W41:W45"/>
    <mergeCell ref="B37:D37"/>
    <mergeCell ref="S5:T5"/>
    <mergeCell ref="S4:T4"/>
    <mergeCell ref="S19:T19"/>
    <mergeCell ref="S18:T18"/>
    <mergeCell ref="S17:T17"/>
    <mergeCell ref="S16:T16"/>
    <mergeCell ref="S15:T15"/>
    <mergeCell ref="S14:T14"/>
    <mergeCell ref="V6:V10"/>
    <mergeCell ref="U6:U10"/>
    <mergeCell ref="U4:V4"/>
    <mergeCell ref="S13:T13"/>
    <mergeCell ref="S12:T12"/>
    <mergeCell ref="S11:T11"/>
    <mergeCell ref="B40:Q70"/>
    <mergeCell ref="S49:T49"/>
    <mergeCell ref="S41:T45"/>
    <mergeCell ref="U41:U45"/>
    <mergeCell ref="V41:V45"/>
    <mergeCell ref="S46:T46"/>
    <mergeCell ref="S47:T47"/>
    <mergeCell ref="S48:T48"/>
    <mergeCell ref="S40:T40"/>
    <mergeCell ref="B2:D2"/>
    <mergeCell ref="E2:F2"/>
    <mergeCell ref="H2:I2"/>
    <mergeCell ref="U39:W39"/>
    <mergeCell ref="B39:Q39"/>
    <mergeCell ref="B38:Q38"/>
    <mergeCell ref="S39:T39"/>
    <mergeCell ref="B5:Q35"/>
    <mergeCell ref="S6:T10"/>
    <mergeCell ref="B4:Q4"/>
  </mergeCells>
  <conditionalFormatting sqref="S11:V19">
    <cfRule type="expression" dxfId="0" priority="1">
      <formula>S11&lt;&gt;""</formula>
    </cfRule>
  </conditionalFormatting>
  <printOptions horizontalCentered="1"/>
  <pageMargins left="0.23622047244094491" right="0.23622047244094491" top="0.74803149606299213" bottom="0.74803149606299213" header="0.31496062992125984" footer="0.31496062992125984"/>
  <pageSetup paperSize="9" scale="72" orientation="landscape" r:id="rId1"/>
  <ignoredErrors>
    <ignoredError sqref="B4 B3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22" r:id="rId4" name="Category_Picker">
              <controlPr defaultSize="0" autoLine="0" autoPict="0">
                <anchor moveWithCells="1">
                  <from>
                    <xdr:col>4</xdr:col>
                    <xdr:colOff>0</xdr:colOff>
                    <xdr:row>1</xdr:row>
                    <xdr:rowOff>152400</xdr:rowOff>
                  </from>
                  <to>
                    <xdr:col>6</xdr:col>
                    <xdr:colOff>200025</xdr:colOff>
                    <xdr:row>1</xdr:row>
                    <xdr:rowOff>371475</xdr:rowOff>
                  </to>
                </anchor>
              </controlPr>
            </control>
          </mc:Choice>
        </mc:AlternateContent>
        <mc:AlternateContent xmlns:mc="http://schemas.openxmlformats.org/markup-compatibility/2006">
          <mc:Choice Requires="x14">
            <control shapeId="5123" r:id="rId5" name="Quarter_Picker">
              <controlPr defaultSize="0" autoLine="0" autoPict="0">
                <anchor moveWithCells="1">
                  <from>
                    <xdr:col>7</xdr:col>
                    <xdr:colOff>0</xdr:colOff>
                    <xdr:row>1</xdr:row>
                    <xdr:rowOff>152400</xdr:rowOff>
                  </from>
                  <to>
                    <xdr:col>9</xdr:col>
                    <xdr:colOff>171450</xdr:colOff>
                    <xdr:row>1</xdr:row>
                    <xdr:rowOff>361950</xdr:rowOff>
                  </to>
                </anchor>
              </controlPr>
            </control>
          </mc:Choice>
        </mc:AlternateContent>
        <mc:AlternateContent xmlns:mc="http://schemas.openxmlformats.org/markup-compatibility/2006">
          <mc:Choice Requires="x14">
            <control shapeId="5126" r:id="rId6" name="Court/Category Picker">
              <controlPr defaultSize="0" autoLine="0" autoPict="0">
                <anchor moveWithCells="1">
                  <from>
                    <xdr:col>4</xdr:col>
                    <xdr:colOff>0</xdr:colOff>
                    <xdr:row>36</xdr:row>
                    <xdr:rowOff>152400</xdr:rowOff>
                  </from>
                  <to>
                    <xdr:col>7</xdr:col>
                    <xdr:colOff>285750</xdr:colOff>
                    <xdr:row>36</xdr:row>
                    <xdr:rowOff>361950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5"/>
  <sheetViews>
    <sheetView showGridLines="0" showRowColHeaders="0" workbookViewId="0">
      <selection activeCell="B5" sqref="B5:D5"/>
    </sheetView>
  </sheetViews>
  <sheetFormatPr defaultRowHeight="12.75"/>
  <cols>
    <col min="1" max="1" width="2.28515625" customWidth="1"/>
    <col min="2" max="2" width="4.28515625" customWidth="1"/>
    <col min="3" max="3" width="27.28515625" customWidth="1"/>
    <col min="4" max="4" width="21" customWidth="1"/>
    <col min="5" max="5" width="2.28515625" customWidth="1"/>
    <col min="6" max="6" width="20.7109375" customWidth="1"/>
    <col min="7" max="7" width="4.85546875" customWidth="1"/>
    <col min="8" max="8" width="5.5703125" customWidth="1"/>
    <col min="9" max="9" width="8.5703125" customWidth="1"/>
    <col min="10" max="10" width="7.140625" customWidth="1"/>
    <col min="11" max="11" width="15.5703125" customWidth="1"/>
    <col min="12" max="12" width="2.28515625" customWidth="1"/>
    <col min="13" max="13" width="4.28515625" customWidth="1"/>
    <col min="14" max="14" width="16.42578125" customWidth="1"/>
    <col min="15" max="15" width="13.85546875" customWidth="1"/>
  </cols>
  <sheetData>
    <row r="2" spans="2:15" ht="15.75" customHeight="1">
      <c r="B2" s="261" t="s">
        <v>119</v>
      </c>
      <c r="C2" s="261"/>
      <c r="D2" s="152">
        <v>1</v>
      </c>
      <c r="F2" s="263" t="s">
        <v>120</v>
      </c>
      <c r="G2" s="264"/>
      <c r="H2" s="264"/>
      <c r="I2" s="264"/>
      <c r="J2" s="264"/>
      <c r="K2" s="265"/>
      <c r="M2" s="261" t="s">
        <v>122</v>
      </c>
      <c r="N2" s="261"/>
      <c r="O2" s="152">
        <v>2</v>
      </c>
    </row>
    <row r="3" spans="2:15" ht="15.75" customHeight="1">
      <c r="B3" s="261" t="s">
        <v>123</v>
      </c>
      <c r="C3" s="261"/>
      <c r="D3" s="41" t="str">
        <f>VLOOKUP(D2,B6:C13,2,TRUE)</f>
        <v>Nacionalni indikatori</v>
      </c>
      <c r="F3" s="268" t="s">
        <v>111</v>
      </c>
      <c r="G3" s="266" t="s">
        <v>114</v>
      </c>
      <c r="H3" s="266" t="s">
        <v>115</v>
      </c>
      <c r="I3" s="266" t="s">
        <v>116</v>
      </c>
      <c r="J3" s="266" t="s">
        <v>118</v>
      </c>
      <c r="K3" s="267" t="s">
        <v>117</v>
      </c>
      <c r="M3" s="261" t="s">
        <v>124</v>
      </c>
      <c r="N3" s="261"/>
      <c r="O3" s="41" t="str">
        <f ca="1">IF(O2=M7,N8,IFERROR(VLOOKUP(O2,M7:N11,2,FALSE),N8))</f>
        <v>Q4 2016</v>
      </c>
    </row>
    <row r="4" spans="2:15" ht="15.75" customHeight="1">
      <c r="F4" s="268"/>
      <c r="G4" s="266"/>
      <c r="H4" s="266"/>
      <c r="I4" s="266"/>
      <c r="J4" s="266"/>
      <c r="K4" s="267"/>
      <c r="M4" s="261" t="s">
        <v>125</v>
      </c>
      <c r="N4" s="261"/>
      <c r="O4" s="41">
        <f ca="1">IF(O2=M7,G8,INDEX(G7:G11,O2))</f>
        <v>4</v>
      </c>
    </row>
    <row r="5" spans="2:15" ht="18" customHeight="1">
      <c r="B5" s="263" t="s">
        <v>147</v>
      </c>
      <c r="C5" s="264"/>
      <c r="D5" s="265"/>
      <c r="F5" s="268"/>
      <c r="G5" s="266"/>
      <c r="H5" s="266"/>
      <c r="I5" s="266"/>
      <c r="J5" s="266"/>
      <c r="K5" s="267"/>
    </row>
    <row r="6" spans="2:15">
      <c r="B6" s="40">
        <v>1</v>
      </c>
      <c r="C6" s="262" t="s">
        <v>159</v>
      </c>
      <c r="D6" s="262"/>
      <c r="F6" s="268"/>
      <c r="G6" s="266"/>
      <c r="H6" s="266"/>
      <c r="I6" s="266"/>
      <c r="J6" s="266"/>
      <c r="K6" s="267"/>
      <c r="M6" s="261" t="s">
        <v>121</v>
      </c>
      <c r="N6" s="261"/>
      <c r="O6" s="261"/>
    </row>
    <row r="7" spans="2:15">
      <c r="B7" s="40">
        <v>2</v>
      </c>
      <c r="C7" s="262" t="s">
        <v>158</v>
      </c>
      <c r="D7" s="262"/>
      <c r="F7" s="44" t="s">
        <v>112</v>
      </c>
      <c r="G7" s="43">
        <f ca="1">ROUNDUP(MONTH(TODAY())/3,0)</f>
        <v>1</v>
      </c>
      <c r="H7" s="43">
        <f ca="1">YEAR(TODAY())</f>
        <v>2017</v>
      </c>
      <c r="I7" s="258"/>
      <c r="J7" s="259"/>
      <c r="K7" s="260"/>
      <c r="M7" s="40">
        <v>1</v>
      </c>
      <c r="N7" s="272" t="str">
        <f>F8</f>
        <v>Posljednji kvartal</v>
      </c>
      <c r="O7" s="272"/>
    </row>
    <row r="8" spans="2:15">
      <c r="B8" s="39"/>
      <c r="C8" s="39"/>
      <c r="D8" s="39"/>
      <c r="F8" s="142" t="s">
        <v>162</v>
      </c>
      <c r="G8" s="41">
        <f ca="1">IF(G7&lt;2,4,G7-1)</f>
        <v>4</v>
      </c>
      <c r="H8" s="41">
        <f ca="1">IF(G8&gt;G7,H$7-1,H7)</f>
        <v>2016</v>
      </c>
      <c r="I8" s="41" t="str">
        <f ca="1">"Q"&amp; G8 &amp; " " &amp; H8</f>
        <v>Q4 2016</v>
      </c>
      <c r="J8" s="42" t="str">
        <f ca="1">H8&amp;"!"</f>
        <v>2016!</v>
      </c>
      <c r="K8" s="151" t="str">
        <f ca="1">"Cr_Lvl0_HR_Q"&amp;G8</f>
        <v>Cr_Lvl0_HR_Q4</v>
      </c>
      <c r="M8" s="40">
        <v>2</v>
      </c>
      <c r="N8" s="272" t="str">
        <f ca="1">I8</f>
        <v>Q4 2016</v>
      </c>
      <c r="O8" s="272"/>
    </row>
    <row r="9" spans="2:15">
      <c r="B9" s="261" t="s">
        <v>145</v>
      </c>
      <c r="C9" s="261"/>
      <c r="D9" s="152">
        <v>1</v>
      </c>
      <c r="F9" s="269" t="s">
        <v>113</v>
      </c>
      <c r="G9" s="41">
        <f ca="1">IF(G8&lt;2,4,G8-1)</f>
        <v>3</v>
      </c>
      <c r="H9" s="41">
        <f ca="1">IF(G9&gt;G8,H$7-1,H8)</f>
        <v>2016</v>
      </c>
      <c r="I9" s="41" t="str">
        <f ca="1">"Q"&amp; G9 &amp; " " &amp; H9</f>
        <v>Q3 2016</v>
      </c>
      <c r="J9" s="42" t="str">
        <f ca="1">H9&amp;"!"</f>
        <v>2016!</v>
      </c>
      <c r="K9" s="151" t="str">
        <f ca="1">"Cr_Lvl0_HR_Q"&amp;G9</f>
        <v>Cr_Lvl0_HR_Q3</v>
      </c>
      <c r="M9" s="40">
        <v>3</v>
      </c>
      <c r="N9" s="272" t="str">
        <f ca="1">I9</f>
        <v>Q3 2016</v>
      </c>
      <c r="O9" s="272"/>
    </row>
    <row r="10" spans="2:15">
      <c r="B10" s="261" t="s">
        <v>146</v>
      </c>
      <c r="C10" s="261"/>
      <c r="D10" s="41">
        <f ca="1">MIN(D9,CHOOSE(Options!D2,COUNTA(Translation!Court_Types),COUNTA(Translation!CEPEJ_Categories)))</f>
        <v>1</v>
      </c>
      <c r="F10" s="270"/>
      <c r="G10" s="41">
        <f ca="1">IF(G9&lt;2,4,G9-1)</f>
        <v>2</v>
      </c>
      <c r="H10" s="41">
        <f ca="1">IF(G10&gt;G9,H$7-1,H9)</f>
        <v>2016</v>
      </c>
      <c r="I10" s="41" t="str">
        <f ca="1">"Q"&amp; G10 &amp; " " &amp; H10</f>
        <v>Q2 2016</v>
      </c>
      <c r="J10" s="42" t="str">
        <f ca="1">H10&amp;"!"</f>
        <v>2016!</v>
      </c>
      <c r="K10" s="151" t="str">
        <f ca="1">"Cr_Lvl0_HR_Q"&amp;G10</f>
        <v>Cr_Lvl0_HR_Q2</v>
      </c>
      <c r="M10" s="40">
        <v>4</v>
      </c>
      <c r="N10" s="272" t="str">
        <f ca="1">I10</f>
        <v>Q2 2016</v>
      </c>
      <c r="O10" s="272"/>
    </row>
    <row r="11" spans="2:15">
      <c r="B11" s="39"/>
      <c r="C11" s="39"/>
      <c r="D11" s="39"/>
      <c r="F11" s="271"/>
      <c r="G11" s="41">
        <f ca="1">IF(G10&lt;2,4,G10-1)</f>
        <v>1</v>
      </c>
      <c r="H11" s="41">
        <f ca="1">IF(G11&gt;G10,H$7-1,H10)</f>
        <v>2016</v>
      </c>
      <c r="I11" s="41" t="str">
        <f ca="1">"Q"&amp; G11 &amp; " " &amp; H11</f>
        <v>Q1 2016</v>
      </c>
      <c r="J11" s="42" t="str">
        <f ca="1">H11&amp;"!"</f>
        <v>2016!</v>
      </c>
      <c r="K11" s="151" t="str">
        <f ca="1">"Cr_Lvl0_HR_Q"&amp;G11</f>
        <v>Cr_Lvl0_HR_Q1</v>
      </c>
      <c r="M11" s="40">
        <v>5</v>
      </c>
      <c r="N11" s="272" t="str">
        <f ca="1">I11</f>
        <v>Q1 2016</v>
      </c>
      <c r="O11" s="272"/>
    </row>
    <row r="12" spans="2:15" ht="18" customHeight="1">
      <c r="B12" s="261" t="s">
        <v>149</v>
      </c>
      <c r="C12" s="261"/>
      <c r="D12" s="41" t="str">
        <f>CHOOSE(D2,C15,C16)</f>
        <v>Odaberi vrstu suda</v>
      </c>
    </row>
    <row r="13" spans="2:15" ht="18" customHeight="1"/>
    <row r="14" spans="2:15" ht="18" customHeight="1">
      <c r="B14" s="261" t="s">
        <v>148</v>
      </c>
      <c r="C14" s="261"/>
      <c r="D14" s="261"/>
    </row>
    <row r="15" spans="2:15" ht="12.75" customHeight="1">
      <c r="B15" s="40">
        <v>1</v>
      </c>
      <c r="C15" s="262" t="s">
        <v>160</v>
      </c>
      <c r="D15" s="262"/>
    </row>
    <row r="16" spans="2:15">
      <c r="B16" s="40">
        <v>2</v>
      </c>
      <c r="C16" s="262" t="s">
        <v>161</v>
      </c>
      <c r="D16" s="262"/>
    </row>
    <row r="17" spans="2:3">
      <c r="B17" s="38"/>
      <c r="C17" s="39"/>
    </row>
    <row r="18" spans="2:3">
      <c r="B18" s="38"/>
      <c r="C18" s="39"/>
    </row>
    <row r="19" spans="2:3">
      <c r="B19" s="38"/>
      <c r="C19" s="39"/>
    </row>
    <row r="20" spans="2:3">
      <c r="B20" s="38"/>
      <c r="C20" s="39"/>
    </row>
    <row r="21" spans="2:3">
      <c r="B21" s="38"/>
      <c r="C21" s="39"/>
    </row>
    <row r="22" spans="2:3" ht="16.5" customHeight="1">
      <c r="B22" s="38"/>
      <c r="C22" s="39"/>
    </row>
    <row r="26" spans="2:3">
      <c r="B26" s="38"/>
      <c r="C26" s="39"/>
    </row>
    <row r="27" spans="2:3">
      <c r="B27" s="38"/>
      <c r="C27" s="39"/>
    </row>
    <row r="28" spans="2:3">
      <c r="B28" s="38"/>
      <c r="C28" s="39"/>
    </row>
    <row r="29" spans="2:3">
      <c r="B29" s="38"/>
      <c r="C29" s="39"/>
    </row>
    <row r="30" spans="2:3">
      <c r="B30" s="38"/>
      <c r="C30" s="39"/>
    </row>
    <row r="31" spans="2:3">
      <c r="B31" s="38"/>
      <c r="C31" s="39"/>
    </row>
    <row r="32" spans="2:3">
      <c r="B32" s="38"/>
      <c r="C32" s="39"/>
    </row>
    <row r="33" spans="2:3">
      <c r="B33" s="38"/>
      <c r="C33" s="39"/>
    </row>
    <row r="34" spans="2:3">
      <c r="B34" s="38"/>
      <c r="C34" s="39"/>
    </row>
    <row r="35" spans="2:3">
      <c r="B35" s="38"/>
      <c r="C35" s="39"/>
    </row>
  </sheetData>
  <sheetProtection sheet="1" objects="1" scenarios="1" selectLockedCells="1"/>
  <mergeCells count="29">
    <mergeCell ref="M2:N2"/>
    <mergeCell ref="N11:O11"/>
    <mergeCell ref="N10:O10"/>
    <mergeCell ref="N9:O9"/>
    <mergeCell ref="N8:O8"/>
    <mergeCell ref="N7:O7"/>
    <mergeCell ref="M3:N3"/>
    <mergeCell ref="C16:D16"/>
    <mergeCell ref="C15:D15"/>
    <mergeCell ref="B12:C12"/>
    <mergeCell ref="F2:K2"/>
    <mergeCell ref="J3:J6"/>
    <mergeCell ref="B5:D5"/>
    <mergeCell ref="K3:K6"/>
    <mergeCell ref="I3:I6"/>
    <mergeCell ref="H3:H6"/>
    <mergeCell ref="G3:G6"/>
    <mergeCell ref="F3:F6"/>
    <mergeCell ref="B3:C3"/>
    <mergeCell ref="F9:F11"/>
    <mergeCell ref="C7:D7"/>
    <mergeCell ref="C6:D6"/>
    <mergeCell ref="B2:C2"/>
    <mergeCell ref="I7:K7"/>
    <mergeCell ref="M4:N4"/>
    <mergeCell ref="B9:C9"/>
    <mergeCell ref="B10:C10"/>
    <mergeCell ref="B14:D14"/>
    <mergeCell ref="M6:O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50"/>
  <sheetViews>
    <sheetView showGridLines="0" showRowColHeaders="0" topLeftCell="A7" zoomScaleNormal="100" workbookViewId="0">
      <selection activeCell="L13" sqref="L13"/>
    </sheetView>
  </sheetViews>
  <sheetFormatPr defaultRowHeight="12.75"/>
  <cols>
    <col min="1" max="1" width="2.28515625" customWidth="1"/>
    <col min="3" max="4" width="9.140625" customWidth="1"/>
    <col min="8" max="8" width="9.140625" customWidth="1"/>
    <col min="18" max="18" width="9.140625" customWidth="1"/>
  </cols>
  <sheetData>
    <row r="1" spans="2:54" ht="13.5" thickBot="1"/>
    <row r="2" spans="2:54" ht="33.75" customHeight="1" thickBot="1">
      <c r="B2" s="289" t="s">
        <v>126</v>
      </c>
      <c r="C2" s="28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row>
    <row r="3" spans="2:54" ht="5.25" customHeight="1" thickBot="1">
      <c r="B3" s="143"/>
      <c r="C3" s="143"/>
    </row>
    <row r="4" spans="2:54" ht="51" customHeight="1" thickTop="1">
      <c r="B4" s="290" t="s">
        <v>163</v>
      </c>
      <c r="C4" s="291"/>
      <c r="D4" s="282" t="str">
        <f ca="1">CONCATENATE("Kretanje indikatora CR i DT na Sudovima - ",Options!O3)</f>
        <v>Kretanje indikatora CR i DT na Sudovima - Q4 2016</v>
      </c>
      <c r="E4" s="283"/>
      <c r="G4" s="275" t="str">
        <f>B4</f>
        <v>Naslov grafa</v>
      </c>
      <c r="H4" s="275"/>
      <c r="I4" s="280" t="str">
        <f ca="1">CONCATENATE("Kretanje indikatora CR i DT na Sudovima (kategorija prema CEPEJ) - ",Options!O3)</f>
        <v>Kretanje indikatora CR i DT na Sudovima (kategorija prema CEPEJ) - Q4 2016</v>
      </c>
      <c r="J4" s="280"/>
    </row>
    <row r="5" spans="2:54">
      <c r="B5" s="292" t="s">
        <v>169</v>
      </c>
      <c r="C5" s="275"/>
      <c r="D5" s="32" t="s">
        <v>164</v>
      </c>
      <c r="E5" s="144" t="s">
        <v>165</v>
      </c>
      <c r="G5" s="275" t="str">
        <f>B5</f>
        <v>Y Os naslov</v>
      </c>
      <c r="H5" s="275"/>
      <c r="I5" s="32" t="str">
        <f>D5</f>
        <v>Serija 1</v>
      </c>
      <c r="J5" s="32" t="str">
        <f>E5</f>
        <v>Serija 2</v>
      </c>
    </row>
    <row r="6" spans="2:54">
      <c r="B6" s="303" t="s">
        <v>167</v>
      </c>
      <c r="C6" s="280"/>
      <c r="D6" s="280" t="s">
        <v>110</v>
      </c>
      <c r="E6" s="304" t="s">
        <v>174</v>
      </c>
      <c r="G6" s="280" t="s">
        <v>168</v>
      </c>
      <c r="H6" s="280"/>
      <c r="I6" s="302" t="str">
        <f>D6</f>
        <v>Clearance Rate (stopa rješavanja u %)</v>
      </c>
      <c r="J6" s="302" t="str">
        <f>E6</f>
        <v>Disposition Time (vrijeme rješavanja u danima)</v>
      </c>
    </row>
    <row r="7" spans="2:54">
      <c r="B7" s="303"/>
      <c r="C7" s="280"/>
      <c r="D7" s="280"/>
      <c r="E7" s="304"/>
      <c r="G7" s="280"/>
      <c r="H7" s="280"/>
      <c r="I7" s="302"/>
      <c r="J7" s="302"/>
    </row>
    <row r="8" spans="2:54">
      <c r="B8" s="303"/>
      <c r="C8" s="280"/>
      <c r="D8" s="280"/>
      <c r="E8" s="304"/>
      <c r="G8" s="280"/>
      <c r="H8" s="280"/>
      <c r="I8" s="302"/>
      <c r="J8" s="302"/>
    </row>
    <row r="9" spans="2:54">
      <c r="B9" s="303"/>
      <c r="C9" s="280"/>
      <c r="D9" s="280"/>
      <c r="E9" s="304"/>
      <c r="G9" s="280"/>
      <c r="H9" s="280"/>
      <c r="I9" s="302"/>
      <c r="J9" s="302"/>
    </row>
    <row r="10" spans="2:54">
      <c r="B10" s="303"/>
      <c r="C10" s="280"/>
      <c r="D10" s="280"/>
      <c r="E10" s="304"/>
      <c r="G10" s="280"/>
      <c r="H10" s="280"/>
      <c r="I10" s="302"/>
      <c r="J10" s="302"/>
    </row>
    <row r="11" spans="2:54">
      <c r="B11" s="299" t="str">
        <f ca="1">INDIRECT(VLOOKUP(Options!O3,Options!I8:J11,2,FALSE)&amp;"B5")</f>
        <v>Općinski sudovi</v>
      </c>
      <c r="C11" s="298"/>
      <c r="D11" s="33">
        <f ca="1">OFFSET(INDIRECT(VLOOKUP(Options!O3,Options!I8:J11,2,FALSE)&amp;"X17"),0,(Options!O4-1)*2)</f>
        <v>1.0624214016234137</v>
      </c>
      <c r="E11" s="145">
        <f ca="1">OFFSET(INDIRECT(VLOOKUP(Options!O3,Options!I8:J11,2,FALSE)&amp;"Y17"),0,(Options!O4-1)*2)</f>
        <v>123.53302976995307</v>
      </c>
      <c r="G11" s="298" t="str">
        <f ca="1">INDIRECT(VLOOKUP(Options!O3,Options!I8:J11,2,FALSE)&amp;"B64")</f>
        <v>Kazneni (Criminal)</v>
      </c>
      <c r="H11" s="298"/>
      <c r="I11" s="33">
        <f ca="1">OFFSET(INDIRECT(VLOOKUP(Options!O3,Options!I8:J11,2,FALSE)&amp;"X64"),0,(Options!O4-1)*2)</f>
        <v>0.94037772263578712</v>
      </c>
      <c r="J11" s="34">
        <f ca="1">OFFSET(INDIRECT(VLOOKUP(Options!O3,Options!I8:J11,2,FALSE)&amp;"Y64"),0,(Options!O4-1)*2)</f>
        <v>215.28659385765593</v>
      </c>
    </row>
    <row r="12" spans="2:54">
      <c r="B12" s="299" t="str">
        <f ca="1">INDIRECT(VLOOKUP(Options!O3,Options!I8:J11,2,FALSE)&amp;"B18")</f>
        <v>Županijski sudovi</v>
      </c>
      <c r="C12" s="298"/>
      <c r="D12" s="33">
        <f ca="1">OFFSET(INDIRECT(VLOOKUP(Options!O3,Options!I8:J11,2,FALSE)&amp;"X31"),0,(Options!O4-1)*2)</f>
        <v>1.0081790298761786</v>
      </c>
      <c r="E12" s="145">
        <f ca="1">OFFSET(INDIRECT(VLOOKUP(Options!O3,Options!I8:J11,2,FALSE)&amp;"Y31"),0,(Options!O4-1)*2)</f>
        <v>189.4744131455399</v>
      </c>
      <c r="G12" s="298" t="str">
        <f ca="1">INDIRECT(VLOOKUP(Options!O3,Options!I8:J11,2,FALSE)&amp;"B65")</f>
        <v>Građanski (Civil)</v>
      </c>
      <c r="H12" s="298"/>
      <c r="I12" s="33">
        <f ca="1">OFFSET(INDIRECT(VLOOKUP(Options!O3,Options!I8:J11,2,FALSE)&amp;"X65"),0,(Options!O4-1)*2)</f>
        <v>1.0859890559383352</v>
      </c>
      <c r="J12" s="34">
        <f ca="1">OFFSET(INDIRECT(VLOOKUP(Options!O3,Options!I8:J11,2,FALSE)&amp;"Y65"),0,(Options!O4-1)*2)</f>
        <v>317.42052664177982</v>
      </c>
    </row>
    <row r="13" spans="2:54">
      <c r="B13" s="299" t="str">
        <f ca="1">INDIRECT(VLOOKUP(Options!O3,Options!I8:J11,2,FALSE)&amp;"B32")</f>
        <v>Trgovački sudovi</v>
      </c>
      <c r="C13" s="298"/>
      <c r="D13" s="33">
        <f ca="1">OFFSET(INDIRECT(VLOOKUP(Options!O3,Options!I8:J11,2,FALSE)&amp;"X40"),0,(Options!O4-1)*2)</f>
        <v>1.0358106850335072</v>
      </c>
      <c r="E13" s="145">
        <f ca="1">OFFSET(INDIRECT(VLOOKUP(Options!O3,Options!I8:J11,2,FALSE)&amp;"Y40"),0,(Options!O4-1)*2)</f>
        <v>79.31770189823655</v>
      </c>
      <c r="G13" s="298" t="str">
        <f ca="1">INDIRECT(VLOOKUP(Options!O3,Options!I8:J11,2,FALSE)&amp;"B66")</f>
        <v>Upravni (Administrative)</v>
      </c>
      <c r="H13" s="298"/>
      <c r="I13" s="33">
        <f ca="1">OFFSET(INDIRECT(VLOOKUP(Options!O3,Options!I8:J11,2,FALSE)&amp;"X66"),0,(Options!O4-1)*2)</f>
        <v>1.0849569551427276</v>
      </c>
      <c r="J13" s="34">
        <f ca="1">OFFSET(INDIRECT(VLOOKUP(Options!O3,Options!I8:J11,2,FALSE)&amp;"Y66"),0,(Options!O4-1)*2)</f>
        <v>287.81191271664233</v>
      </c>
    </row>
    <row r="14" spans="2:54">
      <c r="B14" s="299" t="str">
        <f ca="1">INDIRECT(VLOOKUP(Options!O3,Options!I8:J11,2,FALSE)&amp;"B41")</f>
        <v>Upravni sudovi</v>
      </c>
      <c r="C14" s="298"/>
      <c r="D14" s="33">
        <f ca="1">OFFSET(INDIRECT(VLOOKUP(Options!O3,Options!I8:J11,2,FALSE)&amp;"X45"),0,(Options!O4-1)*2)</f>
        <v>1.1265822784810127</v>
      </c>
      <c r="E14" s="145">
        <f ca="1">OFFSET(INDIRECT(VLOOKUP(Options!O3,Options!I8:J11,2,FALSE)&amp;"Y45"),0,(Options!O4-1)*2)</f>
        <v>334.26598448368111</v>
      </c>
      <c r="G14" s="298" t="str">
        <f ca="1">INDIRECT(VLOOKUP(Options!O3,Options!I8:J11,2,FALSE)&amp;"B67")</f>
        <v>Ovršni (Enforcement)</v>
      </c>
      <c r="H14" s="298"/>
      <c r="I14" s="33">
        <f ca="1">OFFSET(INDIRECT(VLOOKUP(Options!O3,Options!I8:J11,2,FALSE)&amp;"X67"),0,(Options!O4-1)*2)</f>
        <v>1.1190618793934999</v>
      </c>
      <c r="J14" s="34">
        <f ca="1">OFFSET(INDIRECT(VLOOKUP(Options!O3,Options!I8:J11,2,FALSE)&amp;"Y67"),0,(Options!O4-1)*2)</f>
        <v>194.6195422535211</v>
      </c>
    </row>
    <row r="15" spans="2:54">
      <c r="B15" s="299" t="str">
        <f ca="1">INDIRECT(VLOOKUP(Options!O3,Options!I8:J11,2,FALSE)&amp;"B46")</f>
        <v>Visoki trgovački sud RH</v>
      </c>
      <c r="C15" s="298"/>
      <c r="D15" s="33">
        <f ca="1">OFFSET(INDIRECT(VLOOKUP(Options!O3,Options!I8:J11,2,FALSE)&amp;"X46"),0,(Options!O4-1)*2)</f>
        <v>1.9092815941269008</v>
      </c>
      <c r="E15" s="145">
        <f ca="1">OFFSET(INDIRECT(VLOOKUP(Options!O3,Options!I8:J11,2,FALSE)&amp;"Y46"),0,(Options!O4-1)*2)</f>
        <v>405.85072782202695</v>
      </c>
      <c r="G15" s="298" t="str">
        <f ca="1">INDIRECT(VLOOKUP(Options!O3,Options!I8:J11,2,FALSE)&amp;"B68")</f>
        <v>Trgovački (Commercial)</v>
      </c>
      <c r="H15" s="298"/>
      <c r="I15" s="33">
        <f ca="1">OFFSET(INDIRECT(VLOOKUP(Options!O3,Options!I8:J11,2,FALSE)&amp;"X68"),0,(Options!O4-1)*2)</f>
        <v>1.2952420964184435</v>
      </c>
      <c r="J15" s="34">
        <f ca="1">OFFSET(INDIRECT(VLOOKUP(Options!O3,Options!I8:J11,2,FALSE)&amp;"Y68"),0,(Options!O4-1)*2)</f>
        <v>381.92993837171582</v>
      </c>
    </row>
    <row r="16" spans="2:54">
      <c r="B16" s="299" t="str">
        <f ca="1">INDIRECT(VLOOKUP(Options!O3,Options!I8:J11,2,FALSE)&amp;"B47")</f>
        <v>Visoki upravni sud RH</v>
      </c>
      <c r="C16" s="298"/>
      <c r="D16" s="33">
        <f ca="1">OFFSET(INDIRECT(VLOOKUP(Options!O3,Options!I8:J11,2,FALSE)&amp;"X47"),0,(Options!O4-1)*2)</f>
        <v>0.95894160583941601</v>
      </c>
      <c r="E16" s="145">
        <f ca="1">OFFSET(INDIRECT(VLOOKUP(Options!O3,Options!I8:J11,2,FALSE)&amp;"Y47"),0,(Options!O4-1)*2)</f>
        <v>122.59276879162702</v>
      </c>
      <c r="G16" s="298" t="str">
        <f ca="1">INDIRECT(VLOOKUP(Options!O3,Options!I8:J11,2,FALSE)&amp;"B69")</f>
        <v>Prekršajni (Misdemeanour)</v>
      </c>
      <c r="H16" s="298"/>
      <c r="I16" s="33">
        <f ca="1">OFFSET(INDIRECT(VLOOKUP(Options!O3,Options!I8:J11,2,FALSE)&amp;"X69"),0,(Options!O4-1)*2)</f>
        <v>1.2142236010247009</v>
      </c>
      <c r="J16" s="34">
        <f ca="1">OFFSET(INDIRECT(VLOOKUP(Options!O3,Options!I8:J11,2,FALSE)&amp;"Y69"),0,(Options!O4-1)*2)</f>
        <v>136.33806906162897</v>
      </c>
    </row>
    <row r="17" spans="2:54">
      <c r="B17" s="299" t="str">
        <f ca="1">INDIRECT(VLOOKUP(Options!O3,Options!I8:J11,2,FALSE)&amp;"B48")</f>
        <v>Vrhovni sud RH</v>
      </c>
      <c r="C17" s="298"/>
      <c r="D17" s="33">
        <f ca="1">OFFSET(INDIRECT(VLOOKUP(Options!O3,Options!I8:J11,2,FALSE)&amp;"X50"),0,(Options!O4-1)*2)</f>
        <v>1.3150450064294898</v>
      </c>
      <c r="E17" s="145">
        <f ca="1">OFFSET(INDIRECT(VLOOKUP(Options!O3,Options!I8:J11,2,FALSE)&amp;"Y50"),0,(Options!O4-1)*2)</f>
        <v>508.71577574967409</v>
      </c>
      <c r="G17" s="298" t="str">
        <f ca="1">INDIRECT(VLOOKUP(Options!O3,Options!I8:J11,2,FALSE)&amp;"B70")</f>
        <v>Zemljišnoknjižni (Land Registry)</v>
      </c>
      <c r="H17" s="298"/>
      <c r="I17" s="33">
        <f ca="1">OFFSET(INDIRECT(VLOOKUP(Options!O3,Options!I8:J11,2,FALSE)&amp;"X70"),0,(Options!O4-1)*2)</f>
        <v>1.0489714373888397</v>
      </c>
      <c r="J17" s="34">
        <f ca="1">OFFSET(INDIRECT(VLOOKUP(Options!O3,Options!I8:J11,2,FALSE)&amp;"Y70"),0,(Options!O4-1)*2)</f>
        <v>29.678168283486755</v>
      </c>
    </row>
    <row r="18" spans="2:54">
      <c r="B18" s="299" t="str">
        <f ca="1">INDIRECT(VLOOKUP(Options!O3,Options!I8:J11,2,FALSE)&amp;"B51")</f>
        <v>Prekršajni sudovi</v>
      </c>
      <c r="C18" s="298"/>
      <c r="D18" s="33">
        <f ca="1">OFFSET(INDIRECT(VLOOKUP(Options!O3,Options!I8:J11,2,FALSE)&amp;"X56"),0,(Options!O4-1)*2)</f>
        <v>1.1412905195664342</v>
      </c>
      <c r="E18" s="145">
        <f ca="1">OFFSET(INDIRECT(VLOOKUP(Options!O3,Options!I8:J11,2,FALSE)&amp;"Y56"),0,(Options!O4-1)*2)</f>
        <v>114.9784583658455</v>
      </c>
    </row>
    <row r="19" spans="2:54" ht="13.5" thickBot="1">
      <c r="B19" s="300" t="str">
        <f ca="1">INDIRECT(VLOOKUP(Options!O3,Options!I8:J11,2,FALSE)&amp;"B57")</f>
        <v>Visoki prekršajni sud RH</v>
      </c>
      <c r="C19" s="301"/>
      <c r="D19" s="146">
        <f ca="1">OFFSET(INDIRECT(VLOOKUP(Options!O3,Options!I8:J11,2,FALSE)&amp;"X57"),0,(Options!O4-1)*2)</f>
        <v>2.0970126270403449</v>
      </c>
      <c r="E19" s="147">
        <f ca="1">OFFSET(INDIRECT(VLOOKUP(Options!O3,Options!I8:J11,2,FALSE)&amp;"Y57"),0,(Options!O4-1)*2)</f>
        <v>277.04673960934059</v>
      </c>
    </row>
    <row r="20" spans="2:54" ht="14.25" thickTop="1" thickBot="1"/>
    <row r="21" spans="2:54" ht="33.75" customHeight="1" thickBot="1">
      <c r="B21" s="53" t="s">
        <v>127</v>
      </c>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row>
    <row r="22" spans="2:54" ht="5.25" customHeight="1" thickBot="1"/>
    <row r="23" spans="2:54" ht="51" customHeight="1" thickTop="1">
      <c r="B23" s="290" t="s">
        <v>163</v>
      </c>
      <c r="C23" s="291"/>
      <c r="D23" s="282" t="s">
        <v>128</v>
      </c>
      <c r="E23" s="282"/>
      <c r="F23" s="283"/>
      <c r="H23" s="275" t="str">
        <f>B23</f>
        <v>Naslov grafa</v>
      </c>
      <c r="I23" s="275"/>
      <c r="J23" s="280" t="s">
        <v>129</v>
      </c>
      <c r="K23" s="280"/>
      <c r="L23" s="280"/>
      <c r="N23" s="275" t="str">
        <f>B23</f>
        <v>Naslov grafa</v>
      </c>
      <c r="O23" s="275"/>
      <c r="P23" s="280" t="s">
        <v>131</v>
      </c>
      <c r="Q23" s="280"/>
      <c r="R23" s="280"/>
      <c r="T23" s="275" t="str">
        <f>B23</f>
        <v>Naslov grafa</v>
      </c>
      <c r="U23" s="275"/>
      <c r="V23" s="280" t="s">
        <v>132</v>
      </c>
      <c r="W23" s="280"/>
      <c r="X23" s="280"/>
      <c r="Z23" s="275" t="str">
        <f>B23</f>
        <v>Naslov grafa</v>
      </c>
      <c r="AA23" s="275"/>
      <c r="AB23" s="280" t="s">
        <v>133</v>
      </c>
      <c r="AC23" s="280"/>
      <c r="AD23" s="280"/>
      <c r="AF23" s="275" t="str">
        <f>B23</f>
        <v>Naslov grafa</v>
      </c>
      <c r="AG23" s="275"/>
      <c r="AH23" s="280" t="s">
        <v>134</v>
      </c>
      <c r="AI23" s="280"/>
      <c r="AJ23" s="280"/>
      <c r="AL23" s="275" t="str">
        <f>B23</f>
        <v>Naslov grafa</v>
      </c>
      <c r="AM23" s="275"/>
      <c r="AN23" s="280" t="s">
        <v>135</v>
      </c>
      <c r="AO23" s="280"/>
      <c r="AP23" s="280"/>
      <c r="AR23" s="275" t="str">
        <f>B23</f>
        <v>Naslov grafa</v>
      </c>
      <c r="AS23" s="275"/>
      <c r="AT23" s="280" t="s">
        <v>136</v>
      </c>
      <c r="AU23" s="280"/>
      <c r="AV23" s="280"/>
      <c r="AX23" s="275" t="str">
        <f>B23</f>
        <v>Naslov grafa</v>
      </c>
      <c r="AY23" s="275"/>
      <c r="AZ23" s="280" t="s">
        <v>137</v>
      </c>
      <c r="BA23" s="280"/>
      <c r="BB23" s="280"/>
    </row>
    <row r="24" spans="2:54">
      <c r="B24" s="292" t="s">
        <v>169</v>
      </c>
      <c r="C24" s="275"/>
      <c r="D24" s="32" t="s">
        <v>164</v>
      </c>
      <c r="E24" s="32" t="s">
        <v>165</v>
      </c>
      <c r="F24" s="144" t="s">
        <v>166</v>
      </c>
      <c r="H24" s="275" t="str">
        <f>B24</f>
        <v>Y Os naslov</v>
      </c>
      <c r="I24" s="275"/>
      <c r="J24" s="32" t="str">
        <f>D24</f>
        <v>Serija 1</v>
      </c>
      <c r="K24" s="32" t="str">
        <f t="shared" ref="K24:L24" si="0">E24</f>
        <v>Serija 2</v>
      </c>
      <c r="L24" s="32" t="str">
        <f t="shared" si="0"/>
        <v>Serija 3</v>
      </c>
      <c r="N24" s="275" t="str">
        <f>B24</f>
        <v>Y Os naslov</v>
      </c>
      <c r="O24" s="275"/>
      <c r="P24" s="32" t="str">
        <f>D24</f>
        <v>Serija 1</v>
      </c>
      <c r="Q24" s="32" t="str">
        <f t="shared" ref="Q24:R24" si="1">E24</f>
        <v>Serija 2</v>
      </c>
      <c r="R24" s="32" t="str">
        <f t="shared" si="1"/>
        <v>Serija 3</v>
      </c>
      <c r="T24" s="275" t="str">
        <f>B24</f>
        <v>Y Os naslov</v>
      </c>
      <c r="U24" s="275"/>
      <c r="V24" s="32" t="str">
        <f>D24</f>
        <v>Serija 1</v>
      </c>
      <c r="W24" s="32" t="str">
        <f t="shared" ref="W24:X24" si="2">E24</f>
        <v>Serija 2</v>
      </c>
      <c r="X24" s="32" t="str">
        <f t="shared" si="2"/>
        <v>Serija 3</v>
      </c>
      <c r="Z24" s="275" t="str">
        <f>B24</f>
        <v>Y Os naslov</v>
      </c>
      <c r="AA24" s="275"/>
      <c r="AB24" s="32" t="str">
        <f>D24</f>
        <v>Serija 1</v>
      </c>
      <c r="AC24" s="32" t="str">
        <f t="shared" ref="AC24:AD24" si="3">E24</f>
        <v>Serija 2</v>
      </c>
      <c r="AD24" s="32" t="str">
        <f t="shared" si="3"/>
        <v>Serija 3</v>
      </c>
      <c r="AF24" s="275" t="str">
        <f>B24</f>
        <v>Y Os naslov</v>
      </c>
      <c r="AG24" s="275"/>
      <c r="AH24" s="32" t="str">
        <f>D24</f>
        <v>Serija 1</v>
      </c>
      <c r="AI24" s="32" t="str">
        <f t="shared" ref="AI24:AJ24" si="4">E24</f>
        <v>Serija 2</v>
      </c>
      <c r="AJ24" s="32" t="str">
        <f t="shared" si="4"/>
        <v>Serija 3</v>
      </c>
      <c r="AL24" s="275" t="str">
        <f>B24</f>
        <v>Y Os naslov</v>
      </c>
      <c r="AM24" s="275"/>
      <c r="AN24" s="32" t="str">
        <f>D24</f>
        <v>Serija 1</v>
      </c>
      <c r="AO24" s="32" t="str">
        <f t="shared" ref="AO24:AP24" si="5">E24</f>
        <v>Serija 2</v>
      </c>
      <c r="AP24" s="32" t="str">
        <f t="shared" si="5"/>
        <v>Serija 3</v>
      </c>
      <c r="AR24" s="275" t="str">
        <f>B24</f>
        <v>Y Os naslov</v>
      </c>
      <c r="AS24" s="275"/>
      <c r="AT24" s="32" t="str">
        <f>D24</f>
        <v>Serija 1</v>
      </c>
      <c r="AU24" s="32" t="str">
        <f t="shared" ref="AU24:AV24" si="6">E24</f>
        <v>Serija 2</v>
      </c>
      <c r="AV24" s="32" t="str">
        <f t="shared" si="6"/>
        <v>Serija 3</v>
      </c>
      <c r="AX24" s="275" t="str">
        <f>B24</f>
        <v>Y Os naslov</v>
      </c>
      <c r="AY24" s="275"/>
      <c r="AZ24" s="32" t="str">
        <f>D24</f>
        <v>Serija 1</v>
      </c>
      <c r="BA24" s="32" t="str">
        <f t="shared" ref="BA24:BB24" si="7">E24</f>
        <v>Serija 2</v>
      </c>
      <c r="BB24" s="32" t="str">
        <f t="shared" si="7"/>
        <v>Serija 3</v>
      </c>
    </row>
    <row r="25" spans="2:54" ht="12.75" customHeight="1">
      <c r="B25" s="293" t="s">
        <v>130</v>
      </c>
      <c r="C25" s="294"/>
      <c r="D25" s="297" t="s">
        <v>1</v>
      </c>
      <c r="E25" s="297" t="s">
        <v>2</v>
      </c>
      <c r="F25" s="284" t="s">
        <v>3</v>
      </c>
      <c r="H25" s="276" t="str">
        <f>B25</f>
        <v>Predmeti</v>
      </c>
      <c r="I25" s="277"/>
      <c r="J25" s="273" t="str">
        <f>D25</f>
        <v>Primljeno</v>
      </c>
      <c r="K25" s="273" t="str">
        <f>E25</f>
        <v>Riješeno</v>
      </c>
      <c r="L25" s="273" t="str">
        <f>F25</f>
        <v>Neriješeno</v>
      </c>
      <c r="N25" s="276" t="str">
        <f>B25</f>
        <v>Predmeti</v>
      </c>
      <c r="O25" s="277"/>
      <c r="P25" s="273" t="str">
        <f>D25</f>
        <v>Primljeno</v>
      </c>
      <c r="Q25" s="273" t="str">
        <f>E25</f>
        <v>Riješeno</v>
      </c>
      <c r="R25" s="273" t="str">
        <f>F25</f>
        <v>Neriješeno</v>
      </c>
      <c r="T25" s="276" t="str">
        <f>B25</f>
        <v>Predmeti</v>
      </c>
      <c r="U25" s="277"/>
      <c r="V25" s="273" t="str">
        <f>D25</f>
        <v>Primljeno</v>
      </c>
      <c r="W25" s="273" t="str">
        <f>E25</f>
        <v>Riješeno</v>
      </c>
      <c r="X25" s="273" t="str">
        <f>F25</f>
        <v>Neriješeno</v>
      </c>
      <c r="Z25" s="276" t="str">
        <f>B25</f>
        <v>Predmeti</v>
      </c>
      <c r="AA25" s="277"/>
      <c r="AB25" s="273" t="str">
        <f>D25</f>
        <v>Primljeno</v>
      </c>
      <c r="AC25" s="273" t="str">
        <f>E25</f>
        <v>Riješeno</v>
      </c>
      <c r="AD25" s="273" t="str">
        <f>F25</f>
        <v>Neriješeno</v>
      </c>
      <c r="AF25" s="276" t="str">
        <f>B25</f>
        <v>Predmeti</v>
      </c>
      <c r="AG25" s="277"/>
      <c r="AH25" s="273" t="str">
        <f>D25</f>
        <v>Primljeno</v>
      </c>
      <c r="AI25" s="273" t="str">
        <f>E25</f>
        <v>Riješeno</v>
      </c>
      <c r="AJ25" s="273" t="str">
        <f>F25</f>
        <v>Neriješeno</v>
      </c>
      <c r="AL25" s="276" t="str">
        <f>B25</f>
        <v>Predmeti</v>
      </c>
      <c r="AM25" s="277"/>
      <c r="AN25" s="273" t="str">
        <f>D25</f>
        <v>Primljeno</v>
      </c>
      <c r="AO25" s="273" t="str">
        <f>E25</f>
        <v>Riješeno</v>
      </c>
      <c r="AP25" s="273" t="str">
        <f>F25</f>
        <v>Neriješeno</v>
      </c>
      <c r="AR25" s="276" t="str">
        <f>B25</f>
        <v>Predmeti</v>
      </c>
      <c r="AS25" s="277"/>
      <c r="AT25" s="273" t="str">
        <f>D25</f>
        <v>Primljeno</v>
      </c>
      <c r="AU25" s="273" t="str">
        <f>E25</f>
        <v>Riješeno</v>
      </c>
      <c r="AV25" s="273" t="str">
        <f>F25</f>
        <v>Neriješeno</v>
      </c>
      <c r="AX25" s="276" t="str">
        <f>B25</f>
        <v>Predmeti</v>
      </c>
      <c r="AY25" s="277"/>
      <c r="AZ25" s="273" t="str">
        <f>D25</f>
        <v>Primljeno</v>
      </c>
      <c r="BA25" s="273" t="str">
        <f>E25</f>
        <v>Riješeno</v>
      </c>
      <c r="BB25" s="273" t="str">
        <f>F25</f>
        <v>Neriješeno</v>
      </c>
    </row>
    <row r="26" spans="2:54" ht="12.75" customHeight="1">
      <c r="B26" s="293"/>
      <c r="C26" s="294"/>
      <c r="D26" s="297"/>
      <c r="E26" s="297"/>
      <c r="F26" s="284"/>
      <c r="H26" s="276"/>
      <c r="I26" s="277"/>
      <c r="J26" s="273"/>
      <c r="K26" s="273"/>
      <c r="L26" s="273"/>
      <c r="N26" s="276"/>
      <c r="O26" s="277"/>
      <c r="P26" s="273"/>
      <c r="Q26" s="273"/>
      <c r="R26" s="273"/>
      <c r="T26" s="276"/>
      <c r="U26" s="277"/>
      <c r="V26" s="273"/>
      <c r="W26" s="273"/>
      <c r="X26" s="273"/>
      <c r="Z26" s="276"/>
      <c r="AA26" s="277"/>
      <c r="AB26" s="273"/>
      <c r="AC26" s="273"/>
      <c r="AD26" s="273"/>
      <c r="AF26" s="276"/>
      <c r="AG26" s="277"/>
      <c r="AH26" s="273"/>
      <c r="AI26" s="273"/>
      <c r="AJ26" s="273"/>
      <c r="AL26" s="276"/>
      <c r="AM26" s="277"/>
      <c r="AN26" s="273"/>
      <c r="AO26" s="273"/>
      <c r="AP26" s="273"/>
      <c r="AR26" s="276"/>
      <c r="AS26" s="277"/>
      <c r="AT26" s="273"/>
      <c r="AU26" s="273"/>
      <c r="AV26" s="273"/>
      <c r="AX26" s="276"/>
      <c r="AY26" s="277"/>
      <c r="AZ26" s="273"/>
      <c r="BA26" s="273"/>
      <c r="BB26" s="273"/>
    </row>
    <row r="27" spans="2:54" ht="12.75" customHeight="1">
      <c r="B27" s="293"/>
      <c r="C27" s="294"/>
      <c r="D27" s="297"/>
      <c r="E27" s="297"/>
      <c r="F27" s="284"/>
      <c r="H27" s="276"/>
      <c r="I27" s="277"/>
      <c r="J27" s="273"/>
      <c r="K27" s="273"/>
      <c r="L27" s="273"/>
      <c r="N27" s="276"/>
      <c r="O27" s="277"/>
      <c r="P27" s="273"/>
      <c r="Q27" s="273"/>
      <c r="R27" s="273"/>
      <c r="T27" s="276"/>
      <c r="U27" s="277"/>
      <c r="V27" s="273"/>
      <c r="W27" s="273"/>
      <c r="X27" s="273"/>
      <c r="Z27" s="276"/>
      <c r="AA27" s="277"/>
      <c r="AB27" s="273"/>
      <c r="AC27" s="273"/>
      <c r="AD27" s="273"/>
      <c r="AF27" s="276"/>
      <c r="AG27" s="277"/>
      <c r="AH27" s="273"/>
      <c r="AI27" s="273"/>
      <c r="AJ27" s="273"/>
      <c r="AL27" s="276"/>
      <c r="AM27" s="277"/>
      <c r="AN27" s="273"/>
      <c r="AO27" s="273"/>
      <c r="AP27" s="273"/>
      <c r="AR27" s="276"/>
      <c r="AS27" s="277"/>
      <c r="AT27" s="273"/>
      <c r="AU27" s="273"/>
      <c r="AV27" s="273"/>
      <c r="AX27" s="276"/>
      <c r="AY27" s="277"/>
      <c r="AZ27" s="273"/>
      <c r="BA27" s="273"/>
      <c r="BB27" s="273"/>
    </row>
    <row r="28" spans="2:54" ht="12.75" customHeight="1">
      <c r="B28" s="293"/>
      <c r="C28" s="294"/>
      <c r="D28" s="297"/>
      <c r="E28" s="297"/>
      <c r="F28" s="284"/>
      <c r="H28" s="276"/>
      <c r="I28" s="277"/>
      <c r="J28" s="273"/>
      <c r="K28" s="273"/>
      <c r="L28" s="273"/>
      <c r="N28" s="276"/>
      <c r="O28" s="277"/>
      <c r="P28" s="273"/>
      <c r="Q28" s="273"/>
      <c r="R28" s="273"/>
      <c r="T28" s="276"/>
      <c r="U28" s="277"/>
      <c r="V28" s="273"/>
      <c r="W28" s="273"/>
      <c r="X28" s="273"/>
      <c r="Z28" s="276"/>
      <c r="AA28" s="277"/>
      <c r="AB28" s="273"/>
      <c r="AC28" s="273"/>
      <c r="AD28" s="273"/>
      <c r="AF28" s="276"/>
      <c r="AG28" s="277"/>
      <c r="AH28" s="273"/>
      <c r="AI28" s="273"/>
      <c r="AJ28" s="273"/>
      <c r="AL28" s="276"/>
      <c r="AM28" s="277"/>
      <c r="AN28" s="273"/>
      <c r="AO28" s="273"/>
      <c r="AP28" s="273"/>
      <c r="AR28" s="276"/>
      <c r="AS28" s="277"/>
      <c r="AT28" s="273"/>
      <c r="AU28" s="273"/>
      <c r="AV28" s="273"/>
      <c r="AX28" s="276"/>
      <c r="AY28" s="277"/>
      <c r="AZ28" s="273"/>
      <c r="BA28" s="273"/>
      <c r="BB28" s="273"/>
    </row>
    <row r="29" spans="2:54" ht="12.75" customHeight="1">
      <c r="B29" s="295"/>
      <c r="C29" s="296"/>
      <c r="D29" s="297"/>
      <c r="E29" s="297"/>
      <c r="F29" s="284"/>
      <c r="H29" s="278"/>
      <c r="I29" s="279"/>
      <c r="J29" s="273"/>
      <c r="K29" s="273"/>
      <c r="L29" s="273"/>
      <c r="N29" s="278"/>
      <c r="O29" s="279"/>
      <c r="P29" s="273"/>
      <c r="Q29" s="273"/>
      <c r="R29" s="273"/>
      <c r="T29" s="278"/>
      <c r="U29" s="279"/>
      <c r="V29" s="273"/>
      <c r="W29" s="273"/>
      <c r="X29" s="273"/>
      <c r="Z29" s="278"/>
      <c r="AA29" s="279"/>
      <c r="AB29" s="273"/>
      <c r="AC29" s="273"/>
      <c r="AD29" s="273"/>
      <c r="AF29" s="278"/>
      <c r="AG29" s="279"/>
      <c r="AH29" s="273"/>
      <c r="AI29" s="273"/>
      <c r="AJ29" s="273"/>
      <c r="AL29" s="278"/>
      <c r="AM29" s="279"/>
      <c r="AN29" s="273"/>
      <c r="AO29" s="273"/>
      <c r="AP29" s="273"/>
      <c r="AR29" s="278"/>
      <c r="AS29" s="279"/>
      <c r="AT29" s="273"/>
      <c r="AU29" s="273"/>
      <c r="AV29" s="273"/>
      <c r="AX29" s="278"/>
      <c r="AY29" s="279"/>
      <c r="AZ29" s="273"/>
      <c r="BA29" s="273"/>
      <c r="BB29" s="273"/>
    </row>
    <row r="30" spans="2:54">
      <c r="B30" s="285" t="str">
        <f ca="1">Options!I8</f>
        <v>Q4 2016</v>
      </c>
      <c r="C30" s="274"/>
      <c r="D30" s="52">
        <f ca="1">OFFSET(INDIRECT(Options!$J8&amp;"D17"),0,Options!$G8-1)</f>
        <v>201181</v>
      </c>
      <c r="E30" s="52">
        <f ca="1">OFFSET(INDIRECT(Options!$J8&amp;"I17"),0,(Options!$G8-1)*2)</f>
        <v>213739</v>
      </c>
      <c r="F30" s="148">
        <f ca="1">OFFSET(INDIRECT(Options!$J8&amp;"S17"),0,Options!$G8-1)</f>
        <v>289357</v>
      </c>
      <c r="H30" s="274" t="str">
        <f ca="1">B30</f>
        <v>Q4 2016</v>
      </c>
      <c r="I30" s="274"/>
      <c r="J30" s="52">
        <f ca="1">OFFSET(INDIRECT(Options!$J8&amp;"D31"),0,Options!$G8-1)</f>
        <v>26409</v>
      </c>
      <c r="K30" s="52">
        <f ca="1">OFFSET(INDIRECT(Options!$J8&amp;"I31"),0,(Options!$G8-1)*2)</f>
        <v>26625</v>
      </c>
      <c r="L30" s="52">
        <f ca="1">OFFSET(INDIRECT(Options!$J8&amp;"S31"),0,Options!$G8-1)</f>
        <v>55285</v>
      </c>
      <c r="N30" s="274" t="str">
        <f ca="1">B30</f>
        <v>Q4 2016</v>
      </c>
      <c r="O30" s="274"/>
      <c r="P30" s="52">
        <f ca="1">OFFSET(INDIRECT(Options!$J8&amp;"D40"),0,Options!$G8-1)</f>
        <v>42976</v>
      </c>
      <c r="Q30" s="52">
        <f ca="1">OFFSET(INDIRECT(Options!$J8&amp;"I40"),0,(Options!$G8-1)*2)</f>
        <v>44515</v>
      </c>
      <c r="R30" s="52">
        <f ca="1">OFFSET(INDIRECT(Options!$J8&amp;"S40"),0,Options!$G8-1)</f>
        <v>38694</v>
      </c>
      <c r="T30" s="274" t="str">
        <f ca="1">B30</f>
        <v>Q4 2016</v>
      </c>
      <c r="U30" s="274"/>
      <c r="V30" s="52">
        <f ca="1">OFFSET(INDIRECT(Options!$J8&amp;"D45"),0,Options!$G8-1)</f>
        <v>3318</v>
      </c>
      <c r="W30" s="52">
        <f ca="1">OFFSET(INDIRECT(Options!$J8&amp;"I45"),0,(Options!$G8-1)*2)</f>
        <v>3738</v>
      </c>
      <c r="X30" s="52">
        <f ca="1">OFFSET(INDIRECT(Options!$J8&amp;"S45"),0,Options!$G8-1)</f>
        <v>13693</v>
      </c>
      <c r="Z30" s="274" t="str">
        <f ca="1">B30</f>
        <v>Q4 2016</v>
      </c>
      <c r="AA30" s="274"/>
      <c r="AB30" s="52">
        <f ca="1">OFFSET(INDIRECT(Options!$J8&amp;"D46"),0,Options!$G8-1)</f>
        <v>1907</v>
      </c>
      <c r="AC30" s="52">
        <f ca="1">OFFSET(INDIRECT(Options!$J8&amp;"I46"),0,(Options!$G8-1)*2)</f>
        <v>3641</v>
      </c>
      <c r="AD30" s="52">
        <f ca="1">OFFSET(INDIRECT(Options!$J8&amp;"S46"),0,Options!$G8-1)</f>
        <v>16194</v>
      </c>
      <c r="AF30" s="274" t="str">
        <f ca="1">B30</f>
        <v>Q4 2016</v>
      </c>
      <c r="AG30" s="274"/>
      <c r="AH30" s="52">
        <f ca="1">OFFSET(INDIRECT(Options!$J8&amp;"D47"),0,Options!$G8-1)</f>
        <v>1096</v>
      </c>
      <c r="AI30" s="52">
        <f ca="1">OFFSET(INDIRECT(Options!$J8&amp;"I47"),0,(Options!$G8-1)*2)</f>
        <v>1051</v>
      </c>
      <c r="AJ30" s="52">
        <f ca="1">OFFSET(INDIRECT(Options!$J8&amp;"S47"),0,Options!$G8-1)</f>
        <v>1412</v>
      </c>
      <c r="AL30" s="274" t="str">
        <f ca="1">B30</f>
        <v>Q4 2016</v>
      </c>
      <c r="AM30" s="274"/>
      <c r="AN30" s="52">
        <f ca="1">OFFSET(INDIRECT(Options!$J8&amp;"D50"),0,Options!$G8-1)</f>
        <v>2333</v>
      </c>
      <c r="AO30" s="52">
        <f ca="1">OFFSET(INDIRECT(Options!$J8&amp;"I50"),0,(Options!$G8-1)*2)</f>
        <v>3068</v>
      </c>
      <c r="AP30" s="52">
        <f ca="1">OFFSET(INDIRECT(Options!$J8&amp;"S50"),0,Options!$G8-1)</f>
        <v>17104</v>
      </c>
      <c r="AR30" s="274" t="str">
        <f ca="1">B30</f>
        <v>Q4 2016</v>
      </c>
      <c r="AS30" s="274"/>
      <c r="AT30" s="52">
        <f ca="1">OFFSET(INDIRECT(Options!$J8&amp;"D56"),0,Options!$G8-1)</f>
        <v>39302</v>
      </c>
      <c r="AU30" s="52">
        <f ca="1">OFFSET(INDIRECT(Options!$J8&amp;"I56"),0,(Options!$G8-1)*2)</f>
        <v>44855</v>
      </c>
      <c r="AV30" s="52">
        <f ca="1">OFFSET(INDIRECT(Options!$J8&amp;"S56"),0,Options!$G8-1)</f>
        <v>56519</v>
      </c>
      <c r="AX30" s="274" t="str">
        <f ca="1">B30</f>
        <v>Q4 2016</v>
      </c>
      <c r="AY30" s="274"/>
      <c r="AZ30" s="52">
        <f ca="1">OFFSET(INDIRECT(Options!$J8&amp;"D57"),0,Options!$G8-1)</f>
        <v>3247</v>
      </c>
      <c r="BA30" s="52">
        <f ca="1">OFFSET(INDIRECT(Options!$J8&amp;"I57"),0,(Options!$G8-1)*2)</f>
        <v>6809</v>
      </c>
      <c r="BB30" s="52">
        <f ca="1">OFFSET(INDIRECT(Options!$J8&amp;"S57"),0,Options!$G8-1)</f>
        <v>20673</v>
      </c>
    </row>
    <row r="31" spans="2:54">
      <c r="B31" s="285" t="str">
        <f ca="1">Options!I9</f>
        <v>Q3 2016</v>
      </c>
      <c r="C31" s="274"/>
      <c r="D31" s="52">
        <f ca="1">OFFSET(INDIRECT(Options!$J9&amp;"D17"),0,Options!$G9-1)</f>
        <v>189407</v>
      </c>
      <c r="E31" s="52">
        <f ca="1">OFFSET(INDIRECT(Options!$J9&amp;"I17"),0,(Options!$G9-1)*2)</f>
        <v>179391</v>
      </c>
      <c r="F31" s="148">
        <f ca="1">OFFSET(INDIRECT(Options!$J9&amp;"S17"),0,Options!$G9-1)</f>
        <v>301985</v>
      </c>
      <c r="H31" s="274" t="str">
        <f t="shared" ref="H31:H33" ca="1" si="8">B31</f>
        <v>Q3 2016</v>
      </c>
      <c r="I31" s="274"/>
      <c r="J31" s="52">
        <f ca="1">OFFSET(INDIRECT(Options!$J9&amp;"D31"),0,Options!$G9-1)</f>
        <v>22852</v>
      </c>
      <c r="K31" s="52">
        <f ca="1">OFFSET(INDIRECT(Options!$J9&amp;"I31"),0,(Options!$G9-1)*2)</f>
        <v>22718</v>
      </c>
      <c r="L31" s="52">
        <f ca="1">OFFSET(INDIRECT(Options!$J9&amp;"S31"),0,Options!$G9-1)</f>
        <v>57669</v>
      </c>
      <c r="N31" s="274" t="str">
        <f t="shared" ref="N31:N33" ca="1" si="9">B31</f>
        <v>Q3 2016</v>
      </c>
      <c r="O31" s="274"/>
      <c r="P31" s="52">
        <f ca="1">OFFSET(INDIRECT(Options!$J9&amp;"D40"),0,Options!$G9-1)</f>
        <v>39429</v>
      </c>
      <c r="Q31" s="52">
        <f ca="1">OFFSET(INDIRECT(Options!$J9&amp;"I40"),0,(Options!$G9-1)*2)</f>
        <v>39747</v>
      </c>
      <c r="R31" s="52">
        <f ca="1">OFFSET(INDIRECT(Options!$J9&amp;"S40"),0,Options!$G9-1)</f>
        <v>40630</v>
      </c>
      <c r="T31" s="274" t="str">
        <f t="shared" ref="T31:T33" ca="1" si="10">B31</f>
        <v>Q3 2016</v>
      </c>
      <c r="U31" s="274"/>
      <c r="V31" s="52">
        <f ca="1">OFFSET(INDIRECT(Options!$J9&amp;"D45"),0,Options!$G9-1)</f>
        <v>3051</v>
      </c>
      <c r="W31" s="52">
        <f ca="1">OFFSET(INDIRECT(Options!$J9&amp;"I45"),0,(Options!$G9-1)*2)</f>
        <v>3071</v>
      </c>
      <c r="X31" s="52">
        <f ca="1">OFFSET(INDIRECT(Options!$J9&amp;"S45"),0,Options!$G9-1)</f>
        <v>14113</v>
      </c>
      <c r="Z31" s="274" t="str">
        <f t="shared" ref="Z31:Z33" ca="1" si="11">B31</f>
        <v>Q3 2016</v>
      </c>
      <c r="AA31" s="274"/>
      <c r="AB31" s="52">
        <f ca="1">OFFSET(INDIRECT(Options!$J9&amp;"D46"),0,Options!$G9-1)</f>
        <v>1998</v>
      </c>
      <c r="AC31" s="52">
        <f ca="1">OFFSET(INDIRECT(Options!$J9&amp;"I46"),0,(Options!$G9-1)*2)</f>
        <v>2381</v>
      </c>
      <c r="AD31" s="52">
        <f ca="1">OFFSET(INDIRECT(Options!$J9&amp;"S46"),0,Options!$G9-1)</f>
        <v>17923</v>
      </c>
      <c r="AF31" s="274" t="str">
        <f t="shared" ref="AF31:AF33" ca="1" si="12">B31</f>
        <v>Q3 2016</v>
      </c>
      <c r="AG31" s="274"/>
      <c r="AH31" s="52">
        <f ca="1">OFFSET(INDIRECT(Options!$J9&amp;"D47"),0,Options!$G9-1)</f>
        <v>1145</v>
      </c>
      <c r="AI31" s="52">
        <f ca="1">OFFSET(INDIRECT(Options!$J9&amp;"I47"),0,(Options!$G9-1)*2)</f>
        <v>909</v>
      </c>
      <c r="AJ31" s="52">
        <f ca="1">OFFSET(INDIRECT(Options!$J9&amp;"S47"),0,Options!$G9-1)</f>
        <v>1367</v>
      </c>
      <c r="AL31" s="274" t="str">
        <f t="shared" ref="AL31:AL33" ca="1" si="13">B31</f>
        <v>Q3 2016</v>
      </c>
      <c r="AM31" s="274"/>
      <c r="AN31" s="52">
        <f ca="1">OFFSET(INDIRECT(Options!$J9&amp;"D50"),0,Options!$G9-1)</f>
        <v>2150</v>
      </c>
      <c r="AO31" s="52">
        <f ca="1">OFFSET(INDIRECT(Options!$J9&amp;"I50"),0,(Options!$G9-1)*2)</f>
        <v>2039</v>
      </c>
      <c r="AP31" s="52">
        <f ca="1">OFFSET(INDIRECT(Options!$J9&amp;"S50"),0,Options!$G9-1)</f>
        <v>17839</v>
      </c>
      <c r="AR31" s="274" t="str">
        <f t="shared" ref="AR31:AR33" ca="1" si="14">B31</f>
        <v>Q3 2016</v>
      </c>
      <c r="AS31" s="274"/>
      <c r="AT31" s="52">
        <f ca="1">OFFSET(INDIRECT(Options!$J9&amp;"D56"),0,Options!$G9-1)</f>
        <v>34475</v>
      </c>
      <c r="AU31" s="52">
        <f ca="1">OFFSET(INDIRECT(Options!$J9&amp;"I56"),0,(Options!$G9-1)*2)</f>
        <v>34388</v>
      </c>
      <c r="AV31" s="52">
        <f ca="1">OFFSET(INDIRECT(Options!$J9&amp;"S56"),0,Options!$G9-1)</f>
        <v>62418</v>
      </c>
      <c r="AX31" s="274" t="str">
        <f t="shared" ref="AX31:AX33" ca="1" si="15">B31</f>
        <v>Q3 2016</v>
      </c>
      <c r="AY31" s="274"/>
      <c r="AZ31" s="52">
        <f ca="1">OFFSET(INDIRECT(Options!$J9&amp;"D57"),0,Options!$G9-1)</f>
        <v>2622</v>
      </c>
      <c r="BA31" s="52">
        <f ca="1">OFFSET(INDIRECT(Options!$J9&amp;"I57"),0,(Options!$G9-1)*2)</f>
        <v>5824</v>
      </c>
      <c r="BB31" s="52">
        <f ca="1">OFFSET(INDIRECT(Options!$J9&amp;"S57"),0,Options!$G9-1)</f>
        <v>24314</v>
      </c>
    </row>
    <row r="32" spans="2:54">
      <c r="B32" s="285" t="str">
        <f ca="1">Options!I10</f>
        <v>Q2 2016</v>
      </c>
      <c r="C32" s="274"/>
      <c r="D32" s="52">
        <f ca="1">OFFSET(INDIRECT(Options!$J10&amp;"D17"),0,Options!$G10-1)</f>
        <v>210085</v>
      </c>
      <c r="E32" s="52">
        <f ca="1">OFFSET(INDIRECT(Options!$J10&amp;"I17"),0,(Options!$G10-1)*2)</f>
        <v>202369</v>
      </c>
      <c r="F32" s="148">
        <f ca="1">OFFSET(INDIRECT(Options!$J10&amp;"S17"),0,Options!$G10-1)</f>
        <v>288775</v>
      </c>
      <c r="H32" s="274" t="str">
        <f t="shared" ca="1" si="8"/>
        <v>Q2 2016</v>
      </c>
      <c r="I32" s="274"/>
      <c r="J32" s="52">
        <f ca="1">OFFSET(INDIRECT(Options!$J10&amp;"D31"),0,Options!$G10-1)</f>
        <v>28737</v>
      </c>
      <c r="K32" s="52">
        <f ca="1">OFFSET(INDIRECT(Options!$J10&amp;"I31"),0,(Options!$G10-1)*2)</f>
        <v>28194</v>
      </c>
      <c r="L32" s="52">
        <f ca="1">OFFSET(INDIRECT(Options!$J10&amp;"S31"),0,Options!$G10-1)</f>
        <v>57551</v>
      </c>
      <c r="N32" s="274" t="str">
        <f t="shared" ca="1" si="9"/>
        <v>Q2 2016</v>
      </c>
      <c r="O32" s="274"/>
      <c r="P32" s="52">
        <f ca="1">OFFSET(INDIRECT(Options!$J10&amp;"D40"),0,Options!$G10-1)</f>
        <v>51014</v>
      </c>
      <c r="Q32" s="52">
        <f ca="1">OFFSET(INDIRECT(Options!$J10&amp;"I40"),0,(Options!$G10-1)*2)</f>
        <v>52048</v>
      </c>
      <c r="R32" s="52">
        <f ca="1">OFFSET(INDIRECT(Options!$J10&amp;"S40"),0,Options!$G10-1)</f>
        <v>41055</v>
      </c>
      <c r="T32" s="274" t="str">
        <f t="shared" ca="1" si="10"/>
        <v>Q2 2016</v>
      </c>
      <c r="U32" s="274"/>
      <c r="V32" s="52">
        <f ca="1">OFFSET(INDIRECT(Options!$J10&amp;"D45"),0,Options!$G10-1)</f>
        <v>4428</v>
      </c>
      <c r="W32" s="52">
        <f ca="1">OFFSET(INDIRECT(Options!$J10&amp;"I45"),0,(Options!$G10-1)*2)</f>
        <v>4551</v>
      </c>
      <c r="X32" s="52">
        <f ca="1">OFFSET(INDIRECT(Options!$J10&amp;"S45"),0,Options!$G10-1)</f>
        <v>14133</v>
      </c>
      <c r="Z32" s="274" t="str">
        <f t="shared" ca="1" si="11"/>
        <v>Q2 2016</v>
      </c>
      <c r="AA32" s="274"/>
      <c r="AB32" s="52">
        <f ca="1">OFFSET(INDIRECT(Options!$J10&amp;"D46"),0,Options!$G10-1)</f>
        <v>2335</v>
      </c>
      <c r="AC32" s="52">
        <f ca="1">OFFSET(INDIRECT(Options!$J10&amp;"I46"),0,(Options!$G10-1)*2)</f>
        <v>2891</v>
      </c>
      <c r="AD32" s="52">
        <f ca="1">OFFSET(INDIRECT(Options!$J10&amp;"S46"),0,Options!$G10-1)</f>
        <v>18300</v>
      </c>
      <c r="AF32" s="274" t="str">
        <f t="shared" ca="1" si="12"/>
        <v>Q2 2016</v>
      </c>
      <c r="AG32" s="274"/>
      <c r="AH32" s="52">
        <f ca="1">OFFSET(INDIRECT(Options!$J10&amp;"D47"),0,Options!$G10-1)</f>
        <v>1506</v>
      </c>
      <c r="AI32" s="52">
        <f ca="1">OFFSET(INDIRECT(Options!$J10&amp;"I47"),0,(Options!$G10-1)*2)</f>
        <v>1141</v>
      </c>
      <c r="AJ32" s="52">
        <f ca="1">OFFSET(INDIRECT(Options!$J10&amp;"S47"),0,Options!$G10-1)</f>
        <v>1131</v>
      </c>
      <c r="AL32" s="274" t="str">
        <f t="shared" ca="1" si="13"/>
        <v>Q2 2016</v>
      </c>
      <c r="AM32" s="274"/>
      <c r="AN32" s="52">
        <f ca="1">OFFSET(INDIRECT(Options!$J10&amp;"D50"),0,Options!$G10-1)</f>
        <v>2706</v>
      </c>
      <c r="AO32" s="52">
        <f ca="1">OFFSET(INDIRECT(Options!$J10&amp;"I50"),0,(Options!$G10-1)*2)</f>
        <v>3231</v>
      </c>
      <c r="AP32" s="52">
        <f ca="1">OFFSET(INDIRECT(Options!$J10&amp;"S50"),0,Options!$G10-1)</f>
        <v>17728</v>
      </c>
      <c r="AR32" s="274" t="str">
        <f t="shared" ca="1" si="14"/>
        <v>Q2 2016</v>
      </c>
      <c r="AS32" s="274"/>
      <c r="AT32" s="52">
        <f ca="1">OFFSET(INDIRECT(Options!$J10&amp;"D56"),0,Options!$G10-1)</f>
        <v>37100</v>
      </c>
      <c r="AU32" s="52">
        <f ca="1">OFFSET(INDIRECT(Options!$J10&amp;"I56"),0,(Options!$G10-1)*2)</f>
        <v>42504</v>
      </c>
      <c r="AV32" s="52">
        <f ca="1">OFFSET(INDIRECT(Options!$J10&amp;"S56"),0,Options!$G10-1)</f>
        <v>62346</v>
      </c>
      <c r="AX32" s="274" t="str">
        <f t="shared" ca="1" si="15"/>
        <v>Q2 2016</v>
      </c>
      <c r="AY32" s="274"/>
      <c r="AZ32" s="52">
        <f ca="1">OFFSET(INDIRECT(Options!$J10&amp;"D57"),0,Options!$G10-1)</f>
        <v>3809</v>
      </c>
      <c r="BA32" s="52">
        <f ca="1">OFFSET(INDIRECT(Options!$J10&amp;"I57"),0,(Options!$G10-1)*2)</f>
        <v>5182</v>
      </c>
      <c r="BB32" s="52">
        <f ca="1">OFFSET(INDIRECT(Options!$J10&amp;"S57"),0,Options!$G10-1)</f>
        <v>27521</v>
      </c>
    </row>
    <row r="33" spans="2:54" ht="13.5" thickBot="1">
      <c r="B33" s="286" t="str">
        <f ca="1">Options!I11</f>
        <v>Q1 2016</v>
      </c>
      <c r="C33" s="287"/>
      <c r="D33" s="149">
        <f ca="1">OFFSET(INDIRECT(Options!$J11&amp;"D17"),0,Options!$G11-1)</f>
        <v>203949</v>
      </c>
      <c r="E33" s="149">
        <f ca="1">OFFSET(INDIRECT(Options!$J11&amp;"I17"),0,(Options!$G11-1)*2)</f>
        <v>217910</v>
      </c>
      <c r="F33" s="150">
        <f ca="1">OFFSET(INDIRECT(Options!$J11&amp;"S17"),0,Options!$G11-1)</f>
        <v>284642</v>
      </c>
      <c r="H33" s="274" t="str">
        <f t="shared" ca="1" si="8"/>
        <v>Q1 2016</v>
      </c>
      <c r="I33" s="274"/>
      <c r="J33" s="52">
        <f ca="1">OFFSET(INDIRECT(Options!$J11&amp;"D31"),0,Options!$G11-1)</f>
        <v>28964</v>
      </c>
      <c r="K33" s="52">
        <f ca="1">OFFSET(INDIRECT(Options!$J11&amp;"I31"),0,(Options!$G11-1)*2)</f>
        <v>30476</v>
      </c>
      <c r="L33" s="52">
        <f ca="1">OFFSET(INDIRECT(Options!$J11&amp;"S31"),0,Options!$G11-1)</f>
        <v>57833</v>
      </c>
      <c r="N33" s="274" t="str">
        <f t="shared" ca="1" si="9"/>
        <v>Q1 2016</v>
      </c>
      <c r="O33" s="274"/>
      <c r="P33" s="52">
        <f ca="1">OFFSET(INDIRECT(Options!$J11&amp;"D40"),0,Options!$G11-1)</f>
        <v>49220</v>
      </c>
      <c r="Q33" s="52">
        <f ca="1">OFFSET(INDIRECT(Options!$J11&amp;"I40"),0,(Options!$G11-1)*2)</f>
        <v>49466</v>
      </c>
      <c r="R33" s="52">
        <f ca="1">OFFSET(INDIRECT(Options!$J11&amp;"S40"),0,Options!$G11-1)</f>
        <v>43877</v>
      </c>
      <c r="T33" s="274" t="str">
        <f t="shared" ca="1" si="10"/>
        <v>Q1 2016</v>
      </c>
      <c r="U33" s="274"/>
      <c r="V33" s="52">
        <f ca="1">OFFSET(INDIRECT(Options!$J11&amp;"D45"),0,Options!$G11-1)</f>
        <v>3542</v>
      </c>
      <c r="W33" s="52">
        <f ca="1">OFFSET(INDIRECT(Options!$J11&amp;"I45"),0,(Options!$G11-1)*2)</f>
        <v>4312</v>
      </c>
      <c r="X33" s="52">
        <f ca="1">OFFSET(INDIRECT(Options!$J11&amp;"S45"),0,Options!$G11-1)</f>
        <v>14254</v>
      </c>
      <c r="Z33" s="274" t="str">
        <f t="shared" ca="1" si="11"/>
        <v>Q1 2016</v>
      </c>
      <c r="AA33" s="274"/>
      <c r="AB33" s="52">
        <f ca="1">OFFSET(INDIRECT(Options!$J11&amp;"D46"),0,Options!$G11-1)</f>
        <v>2460</v>
      </c>
      <c r="AC33" s="52">
        <f ca="1">OFFSET(INDIRECT(Options!$J11&amp;"I46"),0,(Options!$G11-1)*2)</f>
        <v>3828</v>
      </c>
      <c r="AD33" s="52">
        <f ca="1">OFFSET(INDIRECT(Options!$J11&amp;"S46"),0,Options!$G11-1)</f>
        <v>18856</v>
      </c>
      <c r="AF33" s="274" t="str">
        <f t="shared" ca="1" si="12"/>
        <v>Q1 2016</v>
      </c>
      <c r="AG33" s="274"/>
      <c r="AH33" s="52">
        <f ca="1">OFFSET(INDIRECT(Options!$J11&amp;"D47"),0,Options!$G11-1)</f>
        <v>1270</v>
      </c>
      <c r="AI33" s="52">
        <f ca="1">OFFSET(INDIRECT(Options!$J11&amp;"I47"),0,(Options!$G11-1)*2)</f>
        <v>1226</v>
      </c>
      <c r="AJ33" s="52">
        <f ca="1">OFFSET(INDIRECT(Options!$J11&amp;"S47"),0,Options!$G11-1)</f>
        <v>766</v>
      </c>
      <c r="AL33" s="274" t="str">
        <f t="shared" ca="1" si="13"/>
        <v>Q1 2016</v>
      </c>
      <c r="AM33" s="274"/>
      <c r="AN33" s="52">
        <f ca="1">OFFSET(INDIRECT(Options!$J11&amp;"D50"),0,Options!$G11-1)</f>
        <v>2762</v>
      </c>
      <c r="AO33" s="52">
        <f ca="1">OFFSET(INDIRECT(Options!$J11&amp;"I50"),0,(Options!$G11-1)*2)</f>
        <v>2736</v>
      </c>
      <c r="AP33" s="52">
        <f ca="1">OFFSET(INDIRECT(Options!$J11&amp;"S50"),0,Options!$G11-1)</f>
        <v>18253</v>
      </c>
      <c r="AR33" s="274" t="str">
        <f t="shared" ca="1" si="14"/>
        <v>Q1 2016</v>
      </c>
      <c r="AS33" s="274"/>
      <c r="AT33" s="52">
        <f ca="1">OFFSET(INDIRECT(Options!$J11&amp;"D56"),0,Options!$G11-1)</f>
        <v>40473</v>
      </c>
      <c r="AU33" s="52">
        <f ca="1">OFFSET(INDIRECT(Options!$J11&amp;"I56"),0,(Options!$G11-1)*2)</f>
        <v>43014</v>
      </c>
      <c r="AV33" s="52">
        <f ca="1">OFFSET(INDIRECT(Options!$J11&amp;"S56"),0,Options!$G11-1)</f>
        <v>67692</v>
      </c>
      <c r="AX33" s="274" t="str">
        <f t="shared" ca="1" si="15"/>
        <v>Q1 2016</v>
      </c>
      <c r="AY33" s="274"/>
      <c r="AZ33" s="52">
        <f ca="1">OFFSET(INDIRECT(Options!$J11&amp;"D57"),0,Options!$G11-1)</f>
        <v>4152</v>
      </c>
      <c r="BA33" s="52">
        <f ca="1">OFFSET(INDIRECT(Options!$J11&amp;"I57"),0,(Options!$G11-1)*2)</f>
        <v>6569</v>
      </c>
      <c r="BB33" s="52">
        <f ca="1">OFFSET(INDIRECT(Options!$J11&amp;"S57"),0,Options!$G11-1)</f>
        <v>28914</v>
      </c>
    </row>
    <row r="34" spans="2:54" ht="13.5" thickTop="1">
      <c r="B34" s="288"/>
      <c r="C34" s="288"/>
      <c r="D34" s="37"/>
    </row>
    <row r="35" spans="2:54" ht="51" customHeight="1">
      <c r="B35" s="275" t="str">
        <f>B23</f>
        <v>Naslov grafa</v>
      </c>
      <c r="C35" s="275"/>
      <c r="D35" s="280" t="s">
        <v>139</v>
      </c>
      <c r="E35" s="280"/>
      <c r="F35" s="280"/>
      <c r="H35" s="275" t="str">
        <f>B23</f>
        <v>Naslov grafa</v>
      </c>
      <c r="I35" s="275"/>
      <c r="J35" s="280" t="s">
        <v>138</v>
      </c>
      <c r="K35" s="280"/>
      <c r="L35" s="280"/>
      <c r="N35" s="275" t="str">
        <f>B23</f>
        <v>Naslov grafa</v>
      </c>
      <c r="O35" s="275"/>
      <c r="P35" s="280" t="s">
        <v>140</v>
      </c>
      <c r="Q35" s="280"/>
      <c r="R35" s="280"/>
      <c r="T35" s="275" t="str">
        <f>B23</f>
        <v>Naslov grafa</v>
      </c>
      <c r="U35" s="275"/>
      <c r="V35" s="280" t="s">
        <v>141</v>
      </c>
      <c r="W35" s="280"/>
      <c r="X35" s="280"/>
      <c r="Z35" s="275" t="str">
        <f>B23</f>
        <v>Naslov grafa</v>
      </c>
      <c r="AA35" s="275"/>
      <c r="AB35" s="280" t="s">
        <v>142</v>
      </c>
      <c r="AC35" s="280"/>
      <c r="AD35" s="280"/>
      <c r="AF35" s="275" t="str">
        <f>B23</f>
        <v>Naslov grafa</v>
      </c>
      <c r="AG35" s="275"/>
      <c r="AH35" s="280" t="s">
        <v>143</v>
      </c>
      <c r="AI35" s="280"/>
      <c r="AJ35" s="280"/>
      <c r="AL35" s="275" t="str">
        <f>B23</f>
        <v>Naslov grafa</v>
      </c>
      <c r="AM35" s="275"/>
      <c r="AN35" s="280" t="s">
        <v>144</v>
      </c>
      <c r="AO35" s="280"/>
      <c r="AP35" s="280"/>
    </row>
    <row r="36" spans="2:54">
      <c r="B36" s="275" t="str">
        <f>B24</f>
        <v>Y Os naslov</v>
      </c>
      <c r="C36" s="275"/>
      <c r="D36" s="32" t="str">
        <f>D24</f>
        <v>Serija 1</v>
      </c>
      <c r="E36" s="32" t="str">
        <f t="shared" ref="E36:F36" si="16">E24</f>
        <v>Serija 2</v>
      </c>
      <c r="F36" s="32" t="str">
        <f t="shared" si="16"/>
        <v>Serija 3</v>
      </c>
      <c r="H36" s="275" t="str">
        <f>B24</f>
        <v>Y Os naslov</v>
      </c>
      <c r="I36" s="275"/>
      <c r="J36" s="32" t="str">
        <f>D24</f>
        <v>Serija 1</v>
      </c>
      <c r="K36" s="32" t="str">
        <f t="shared" ref="K36:L36" si="17">E24</f>
        <v>Serija 2</v>
      </c>
      <c r="L36" s="32" t="str">
        <f t="shared" si="17"/>
        <v>Serija 3</v>
      </c>
      <c r="N36" s="275" t="str">
        <f>B24</f>
        <v>Y Os naslov</v>
      </c>
      <c r="O36" s="275"/>
      <c r="P36" s="32" t="str">
        <f>D24</f>
        <v>Serija 1</v>
      </c>
      <c r="Q36" s="32" t="str">
        <f t="shared" ref="Q36:R36" si="18">E24</f>
        <v>Serija 2</v>
      </c>
      <c r="R36" s="32" t="str">
        <f t="shared" si="18"/>
        <v>Serija 3</v>
      </c>
      <c r="T36" s="275" t="str">
        <f>B24</f>
        <v>Y Os naslov</v>
      </c>
      <c r="U36" s="275"/>
      <c r="V36" s="32" t="str">
        <f>D24</f>
        <v>Serija 1</v>
      </c>
      <c r="W36" s="32" t="str">
        <f t="shared" ref="W36:X36" si="19">E24</f>
        <v>Serija 2</v>
      </c>
      <c r="X36" s="32" t="str">
        <f t="shared" si="19"/>
        <v>Serija 3</v>
      </c>
      <c r="Z36" s="275" t="str">
        <f>B24</f>
        <v>Y Os naslov</v>
      </c>
      <c r="AA36" s="275"/>
      <c r="AB36" s="32" t="str">
        <f>D24</f>
        <v>Serija 1</v>
      </c>
      <c r="AC36" s="32" t="str">
        <f t="shared" ref="AC36:AD36" si="20">E24</f>
        <v>Serija 2</v>
      </c>
      <c r="AD36" s="32" t="str">
        <f t="shared" si="20"/>
        <v>Serija 3</v>
      </c>
      <c r="AF36" s="275" t="str">
        <f>B24</f>
        <v>Y Os naslov</v>
      </c>
      <c r="AG36" s="275"/>
      <c r="AH36" s="32" t="str">
        <f>D24</f>
        <v>Serija 1</v>
      </c>
      <c r="AI36" s="32" t="str">
        <f t="shared" ref="AI36:AJ36" si="21">E24</f>
        <v>Serija 2</v>
      </c>
      <c r="AJ36" s="32" t="str">
        <f t="shared" si="21"/>
        <v>Serija 3</v>
      </c>
      <c r="AL36" s="275" t="str">
        <f>B24</f>
        <v>Y Os naslov</v>
      </c>
      <c r="AM36" s="275"/>
      <c r="AN36" s="32" t="str">
        <f>D24</f>
        <v>Serija 1</v>
      </c>
      <c r="AO36" s="32" t="str">
        <f t="shared" ref="AO36:AP36" si="22">E24</f>
        <v>Serija 2</v>
      </c>
      <c r="AP36" s="32" t="str">
        <f t="shared" si="22"/>
        <v>Serija 3</v>
      </c>
    </row>
    <row r="37" spans="2:54">
      <c r="B37" s="276" t="str">
        <f>B25</f>
        <v>Predmeti</v>
      </c>
      <c r="C37" s="277"/>
      <c r="D37" s="273" t="str">
        <f>D25</f>
        <v>Primljeno</v>
      </c>
      <c r="E37" s="273" t="str">
        <f>E25</f>
        <v>Riješeno</v>
      </c>
      <c r="F37" s="273" t="str">
        <f>F25</f>
        <v>Neriješeno</v>
      </c>
      <c r="H37" s="276" t="str">
        <f>B25</f>
        <v>Predmeti</v>
      </c>
      <c r="I37" s="277"/>
      <c r="J37" s="273" t="str">
        <f>D25</f>
        <v>Primljeno</v>
      </c>
      <c r="K37" s="273" t="str">
        <f>E25</f>
        <v>Riješeno</v>
      </c>
      <c r="L37" s="273" t="str">
        <f>F25</f>
        <v>Neriješeno</v>
      </c>
      <c r="N37" s="276" t="str">
        <f>B25</f>
        <v>Predmeti</v>
      </c>
      <c r="O37" s="277"/>
      <c r="P37" s="273" t="str">
        <f>D25</f>
        <v>Primljeno</v>
      </c>
      <c r="Q37" s="273" t="str">
        <f>E25</f>
        <v>Riješeno</v>
      </c>
      <c r="R37" s="273" t="str">
        <f>F25</f>
        <v>Neriješeno</v>
      </c>
      <c r="T37" s="276" t="str">
        <f>B25</f>
        <v>Predmeti</v>
      </c>
      <c r="U37" s="277"/>
      <c r="V37" s="273" t="str">
        <f>D25</f>
        <v>Primljeno</v>
      </c>
      <c r="W37" s="273" t="str">
        <f>E25</f>
        <v>Riješeno</v>
      </c>
      <c r="X37" s="273" t="str">
        <f>F25</f>
        <v>Neriješeno</v>
      </c>
      <c r="Z37" s="276" t="str">
        <f>B25</f>
        <v>Predmeti</v>
      </c>
      <c r="AA37" s="277"/>
      <c r="AB37" s="273" t="str">
        <f>D25</f>
        <v>Primljeno</v>
      </c>
      <c r="AC37" s="273" t="str">
        <f>E25</f>
        <v>Riješeno</v>
      </c>
      <c r="AD37" s="273" t="str">
        <f>F25</f>
        <v>Neriješeno</v>
      </c>
      <c r="AF37" s="276" t="str">
        <f>B25</f>
        <v>Predmeti</v>
      </c>
      <c r="AG37" s="277"/>
      <c r="AH37" s="273" t="str">
        <f>D25</f>
        <v>Primljeno</v>
      </c>
      <c r="AI37" s="273" t="str">
        <f>E25</f>
        <v>Riješeno</v>
      </c>
      <c r="AJ37" s="273" t="str">
        <f>F25</f>
        <v>Neriješeno</v>
      </c>
      <c r="AL37" s="276" t="str">
        <f>B25</f>
        <v>Predmeti</v>
      </c>
      <c r="AM37" s="277"/>
      <c r="AN37" s="273" t="str">
        <f>D25</f>
        <v>Primljeno</v>
      </c>
      <c r="AO37" s="273" t="str">
        <f>E25</f>
        <v>Riješeno</v>
      </c>
      <c r="AP37" s="273" t="str">
        <f>F25</f>
        <v>Neriješeno</v>
      </c>
    </row>
    <row r="38" spans="2:54">
      <c r="B38" s="276"/>
      <c r="C38" s="277"/>
      <c r="D38" s="273"/>
      <c r="E38" s="273"/>
      <c r="F38" s="273"/>
      <c r="H38" s="276"/>
      <c r="I38" s="277"/>
      <c r="J38" s="273"/>
      <c r="K38" s="273"/>
      <c r="L38" s="273"/>
      <c r="N38" s="276"/>
      <c r="O38" s="277"/>
      <c r="P38" s="273"/>
      <c r="Q38" s="273"/>
      <c r="R38" s="273"/>
      <c r="T38" s="276"/>
      <c r="U38" s="277"/>
      <c r="V38" s="273"/>
      <c r="W38" s="273"/>
      <c r="X38" s="273"/>
      <c r="Z38" s="276"/>
      <c r="AA38" s="277"/>
      <c r="AB38" s="273"/>
      <c r="AC38" s="273"/>
      <c r="AD38" s="273"/>
      <c r="AF38" s="276"/>
      <c r="AG38" s="277"/>
      <c r="AH38" s="273"/>
      <c r="AI38" s="273"/>
      <c r="AJ38" s="273"/>
      <c r="AL38" s="276"/>
      <c r="AM38" s="277"/>
      <c r="AN38" s="273"/>
      <c r="AO38" s="273"/>
      <c r="AP38" s="273"/>
    </row>
    <row r="39" spans="2:54">
      <c r="B39" s="276"/>
      <c r="C39" s="277"/>
      <c r="D39" s="273"/>
      <c r="E39" s="273"/>
      <c r="F39" s="273"/>
      <c r="H39" s="276"/>
      <c r="I39" s="277"/>
      <c r="J39" s="273"/>
      <c r="K39" s="273"/>
      <c r="L39" s="273"/>
      <c r="N39" s="276"/>
      <c r="O39" s="277"/>
      <c r="P39" s="273"/>
      <c r="Q39" s="273"/>
      <c r="R39" s="273"/>
      <c r="T39" s="276"/>
      <c r="U39" s="277"/>
      <c r="V39" s="273"/>
      <c r="W39" s="273"/>
      <c r="X39" s="273"/>
      <c r="Z39" s="276"/>
      <c r="AA39" s="277"/>
      <c r="AB39" s="273"/>
      <c r="AC39" s="273"/>
      <c r="AD39" s="273"/>
      <c r="AF39" s="276"/>
      <c r="AG39" s="277"/>
      <c r="AH39" s="273"/>
      <c r="AI39" s="273"/>
      <c r="AJ39" s="273"/>
      <c r="AL39" s="276"/>
      <c r="AM39" s="277"/>
      <c r="AN39" s="273"/>
      <c r="AO39" s="273"/>
      <c r="AP39" s="273"/>
    </row>
    <row r="40" spans="2:54">
      <c r="B40" s="276"/>
      <c r="C40" s="277"/>
      <c r="D40" s="273"/>
      <c r="E40" s="273"/>
      <c r="F40" s="273"/>
      <c r="H40" s="276"/>
      <c r="I40" s="277"/>
      <c r="J40" s="273"/>
      <c r="K40" s="273"/>
      <c r="L40" s="273"/>
      <c r="N40" s="276"/>
      <c r="O40" s="277"/>
      <c r="P40" s="273"/>
      <c r="Q40" s="273"/>
      <c r="R40" s="273"/>
      <c r="T40" s="276"/>
      <c r="U40" s="277"/>
      <c r="V40" s="273"/>
      <c r="W40" s="273"/>
      <c r="X40" s="273"/>
      <c r="Z40" s="276"/>
      <c r="AA40" s="277"/>
      <c r="AB40" s="273"/>
      <c r="AC40" s="273"/>
      <c r="AD40" s="273"/>
      <c r="AF40" s="276"/>
      <c r="AG40" s="277"/>
      <c r="AH40" s="273"/>
      <c r="AI40" s="273"/>
      <c r="AJ40" s="273"/>
      <c r="AL40" s="276"/>
      <c r="AM40" s="277"/>
      <c r="AN40" s="273"/>
      <c r="AO40" s="273"/>
      <c r="AP40" s="273"/>
    </row>
    <row r="41" spans="2:54">
      <c r="B41" s="278"/>
      <c r="C41" s="279"/>
      <c r="D41" s="273"/>
      <c r="E41" s="273"/>
      <c r="F41" s="273"/>
      <c r="H41" s="278"/>
      <c r="I41" s="279"/>
      <c r="J41" s="273"/>
      <c r="K41" s="273"/>
      <c r="L41" s="273"/>
      <c r="N41" s="278"/>
      <c r="O41" s="279"/>
      <c r="P41" s="273"/>
      <c r="Q41" s="273"/>
      <c r="R41" s="273"/>
      <c r="T41" s="278"/>
      <c r="U41" s="279"/>
      <c r="V41" s="273"/>
      <c r="W41" s="273"/>
      <c r="X41" s="273"/>
      <c r="Z41" s="278"/>
      <c r="AA41" s="279"/>
      <c r="AB41" s="273"/>
      <c r="AC41" s="273"/>
      <c r="AD41" s="273"/>
      <c r="AF41" s="278"/>
      <c r="AG41" s="279"/>
      <c r="AH41" s="273"/>
      <c r="AI41" s="273"/>
      <c r="AJ41" s="273"/>
      <c r="AL41" s="278"/>
      <c r="AM41" s="279"/>
      <c r="AN41" s="273"/>
      <c r="AO41" s="273"/>
      <c r="AP41" s="273"/>
    </row>
    <row r="42" spans="2:54">
      <c r="B42" s="274" t="str">
        <f ca="1">B30</f>
        <v>Q4 2016</v>
      </c>
      <c r="C42" s="274"/>
      <c r="D42" s="52">
        <f ca="1">OFFSET(INDIRECT(Options!$J8&amp;"D64"),0,Options!$G8-1)</f>
        <v>14508</v>
      </c>
      <c r="E42" s="52">
        <f ca="1">OFFSET(INDIRECT(Options!$J8&amp;"I64"),0,(Options!$G8-1)*2)</f>
        <v>13643</v>
      </c>
      <c r="F42" s="52">
        <f ca="1">OFFSET(INDIRECT(Options!$J8&amp;"S64"),0,Options!$G8-1)</f>
        <v>32188</v>
      </c>
      <c r="H42" s="274" t="str">
        <f ca="1">B30</f>
        <v>Q4 2016</v>
      </c>
      <c r="I42" s="274"/>
      <c r="J42" s="52">
        <f ca="1">OFFSET(INDIRECT(Options!$J8&amp;"D65"),0,Options!$G8-1)</f>
        <v>55007</v>
      </c>
      <c r="K42" s="52">
        <f ca="1">OFFSET(INDIRECT(Options!$J8&amp;"I65"),0,(Options!$G8-1)*2)</f>
        <v>59737</v>
      </c>
      <c r="L42" s="52">
        <f ca="1">OFFSET(INDIRECT(Options!$J8&amp;"S65"),0,Options!$G8-1)</f>
        <v>207800</v>
      </c>
      <c r="N42" s="274" t="str">
        <f ca="1">B42</f>
        <v>Q4 2016</v>
      </c>
      <c r="O42" s="274"/>
      <c r="P42" s="52">
        <f ca="1">OFFSET(INDIRECT(Options!$J8&amp;"D66"),0,Options!$G8-1)</f>
        <v>4414</v>
      </c>
      <c r="Q42" s="52">
        <f ca="1">OFFSET(INDIRECT(Options!$J8&amp;"I66"),0,(Options!$G8-1)*2)</f>
        <v>4789</v>
      </c>
      <c r="R42" s="52">
        <f ca="1">OFFSET(INDIRECT(Options!$J8&amp;"S66"),0,Options!$G8-1)</f>
        <v>15105</v>
      </c>
      <c r="T42" s="274" t="str">
        <f ca="1">B42</f>
        <v>Q4 2016</v>
      </c>
      <c r="U42" s="274"/>
      <c r="V42" s="52">
        <f ca="1">OFFSET(INDIRECT(Options!$J8&amp;"D67"),0,Options!$G8-1)</f>
        <v>31723</v>
      </c>
      <c r="W42" s="52">
        <f ca="1">OFFSET(INDIRECT(Options!$J8&amp;"I67"),0,(Options!$G8-1)*2)</f>
        <v>35500</v>
      </c>
      <c r="X42" s="52">
        <f ca="1">OFFSET(INDIRECT(Options!$J8&amp;"S67"),0,Options!$G8-1)</f>
        <v>75715</v>
      </c>
      <c r="Z42" s="274" t="str">
        <f ca="1">B42</f>
        <v>Q4 2016</v>
      </c>
      <c r="AA42" s="274"/>
      <c r="AB42" s="52">
        <f ca="1">OFFSET(INDIRECT(Options!$J8&amp;"D68"),0,Options!$G8-1)</f>
        <v>9521</v>
      </c>
      <c r="AC42" s="52">
        <f ca="1">OFFSET(INDIRECT(Options!$J8&amp;"I68"),0,(Options!$G8-1)*2)</f>
        <v>12332</v>
      </c>
      <c r="AD42" s="52">
        <f ca="1">OFFSET(INDIRECT(Options!$J8&amp;"S68"),0,Options!$G8-1)</f>
        <v>51616</v>
      </c>
      <c r="AF42" s="274" t="str">
        <f ca="1">B42</f>
        <v>Q4 2016</v>
      </c>
      <c r="AG42" s="274"/>
      <c r="AH42" s="52">
        <f ca="1">OFFSET(INDIRECT(Options!$J8&amp;"D69"),0,Options!$G8-1)</f>
        <v>42549</v>
      </c>
      <c r="AI42" s="52">
        <f ca="1">OFFSET(INDIRECT(Options!$J8&amp;"I69"),0,(Options!$G8-1)*2)</f>
        <v>51664</v>
      </c>
      <c r="AJ42" s="52">
        <f ca="1">OFFSET(INDIRECT(Options!$J8&amp;"S69"),0,Options!$G8-1)</f>
        <v>77192</v>
      </c>
      <c r="AL42" s="274" t="str">
        <f ca="1">B42</f>
        <v>Q4 2016</v>
      </c>
      <c r="AM42" s="274"/>
      <c r="AN42" s="52">
        <f ca="1">OFFSET(INDIRECT(Options!$J8&amp;"D70"),0,Options!$G8-1)</f>
        <v>123133</v>
      </c>
      <c r="AO42" s="52">
        <f ca="1">OFFSET(INDIRECT(Options!$J8&amp;"I70"),0,(Options!$G8-1)*2)</f>
        <v>129163</v>
      </c>
      <c r="AP42" s="52">
        <f ca="1">OFFSET(INDIRECT(Options!$J8&amp;"S70"),0,Options!$G8-1)</f>
        <v>42009</v>
      </c>
    </row>
    <row r="43" spans="2:54">
      <c r="B43" s="274" t="str">
        <f t="shared" ref="B43:B45" ca="1" si="23">B31</f>
        <v>Q3 2016</v>
      </c>
      <c r="C43" s="274"/>
      <c r="D43" s="52">
        <f ca="1">OFFSET(INDIRECT(Options!$J9&amp;"D64"),0,Options!$G9-1)</f>
        <v>12036</v>
      </c>
      <c r="E43" s="52">
        <f ca="1">OFFSET(INDIRECT(Options!$J9&amp;"I64"),0,(Options!$G9-1)*2)</f>
        <v>10826</v>
      </c>
      <c r="F43" s="52">
        <f ca="1">OFFSET(INDIRECT(Options!$J9&amp;"S64"),0,Options!$G9-1)</f>
        <v>31996</v>
      </c>
      <c r="H43" s="274" t="str">
        <f t="shared" ref="H43:H45" ca="1" si="24">B31</f>
        <v>Q3 2016</v>
      </c>
      <c r="I43" s="274"/>
      <c r="J43" s="52">
        <f ca="1">OFFSET(INDIRECT(Options!$J9&amp;"D65"),0,Options!$G9-1)</f>
        <v>47453</v>
      </c>
      <c r="K43" s="52">
        <f ca="1">OFFSET(INDIRECT(Options!$J9&amp;"I65"),0,(Options!$G9-1)*2)</f>
        <v>46685</v>
      </c>
      <c r="L43" s="52">
        <f ca="1">OFFSET(INDIRECT(Options!$J9&amp;"S65"),0,Options!$G9-1)</f>
        <v>214300</v>
      </c>
      <c r="N43" s="274" t="str">
        <f t="shared" ref="N43:N45" ca="1" si="25">B43</f>
        <v>Q3 2016</v>
      </c>
      <c r="O43" s="274"/>
      <c r="P43" s="52">
        <f ca="1">OFFSET(INDIRECT(Options!$J9&amp;"D66"),0,Options!$G9-1)</f>
        <v>4196</v>
      </c>
      <c r="Q43" s="52">
        <f ca="1">OFFSET(INDIRECT(Options!$J9&amp;"I66"),0,(Options!$G9-1)*2)</f>
        <v>3980</v>
      </c>
      <c r="R43" s="52">
        <f ca="1">OFFSET(INDIRECT(Options!$J9&amp;"S66"),0,Options!$G9-1)</f>
        <v>15480</v>
      </c>
      <c r="T43" s="274" t="str">
        <f t="shared" ref="T43:T45" ca="1" si="26">B43</f>
        <v>Q3 2016</v>
      </c>
      <c r="U43" s="274"/>
      <c r="V43" s="52">
        <f ca="1">OFFSET(INDIRECT(Options!$J9&amp;"D67"),0,Options!$G9-1)</f>
        <v>35362</v>
      </c>
      <c r="W43" s="52">
        <f ca="1">OFFSET(INDIRECT(Options!$J9&amp;"I67"),0,(Options!$G9-1)*2)</f>
        <v>34213</v>
      </c>
      <c r="X43" s="52">
        <f ca="1">OFFSET(INDIRECT(Options!$J9&amp;"S67"),0,Options!$G9-1)</f>
        <v>79324</v>
      </c>
      <c r="Z43" s="274" t="str">
        <f t="shared" ref="Z43:Z45" ca="1" si="27">B43</f>
        <v>Q3 2016</v>
      </c>
      <c r="AA43" s="274"/>
      <c r="AB43" s="52">
        <f ca="1">OFFSET(INDIRECT(Options!$J9&amp;"D68"),0,Options!$G9-1)</f>
        <v>8769</v>
      </c>
      <c r="AC43" s="52">
        <f ca="1">OFFSET(INDIRECT(Options!$J9&amp;"I68"),0,(Options!$G9-1)*2)</f>
        <v>9684</v>
      </c>
      <c r="AD43" s="52">
        <f ca="1">OFFSET(INDIRECT(Options!$J9&amp;"S68"),0,Options!$G9-1)</f>
        <v>54817</v>
      </c>
      <c r="AF43" s="274" t="str">
        <f t="shared" ref="AF43:AF45" ca="1" si="28">B43</f>
        <v>Q3 2016</v>
      </c>
      <c r="AG43" s="274"/>
      <c r="AH43" s="52">
        <f ca="1">OFFSET(INDIRECT(Options!$J9&amp;"D69"),0,Options!$G9-1)</f>
        <v>37097</v>
      </c>
      <c r="AI43" s="52">
        <f ca="1">OFFSET(INDIRECT(Options!$J9&amp;"I69"),0,(Options!$G9-1)*2)</f>
        <v>40212</v>
      </c>
      <c r="AJ43" s="52">
        <f ca="1">OFFSET(INDIRECT(Options!$J9&amp;"S69"),0,Options!$G9-1)</f>
        <v>86732</v>
      </c>
      <c r="AL43" s="274" t="str">
        <f t="shared" ref="AL43:AL45" ca="1" si="29">B43</f>
        <v>Q3 2016</v>
      </c>
      <c r="AM43" s="274"/>
      <c r="AN43" s="52">
        <f ca="1">OFFSET(INDIRECT(Options!$J9&amp;"D70"),0,Options!$G9-1)</f>
        <v>114550</v>
      </c>
      <c r="AO43" s="52">
        <f ca="1">OFFSET(INDIRECT(Options!$J9&amp;"I70"),0,(Options!$G9-1)*2)</f>
        <v>107354</v>
      </c>
      <c r="AP43" s="52">
        <f ca="1">OFFSET(INDIRECT(Options!$J9&amp;"S70"),0,Options!$G9-1)</f>
        <v>47999</v>
      </c>
    </row>
    <row r="44" spans="2:54">
      <c r="B44" s="274" t="str">
        <f t="shared" ca="1" si="23"/>
        <v>Q2 2016</v>
      </c>
      <c r="C44" s="274"/>
      <c r="D44" s="52">
        <f ca="1">OFFSET(INDIRECT(Options!$J10&amp;"D64"),0,Options!$G10-1)</f>
        <v>13656</v>
      </c>
      <c r="E44" s="52">
        <f ca="1">OFFSET(INDIRECT(Options!$J10&amp;"I64"),0,(Options!$G10-1)*2)</f>
        <v>13388</v>
      </c>
      <c r="F44" s="52">
        <f ca="1">OFFSET(INDIRECT(Options!$J10&amp;"S64"),0,Options!$G10-1)</f>
        <v>30819</v>
      </c>
      <c r="H44" s="274" t="str">
        <f t="shared" ca="1" si="24"/>
        <v>Q2 2016</v>
      </c>
      <c r="I44" s="274"/>
      <c r="J44" s="52">
        <f ca="1">OFFSET(INDIRECT(Options!$J10&amp;"D65"),0,Options!$G10-1)</f>
        <v>60422</v>
      </c>
      <c r="K44" s="52">
        <f ca="1">OFFSET(INDIRECT(Options!$J10&amp;"I65"),0,(Options!$G10-1)*2)</f>
        <v>67448</v>
      </c>
      <c r="L44" s="52">
        <f ca="1">OFFSET(INDIRECT(Options!$J10&amp;"S65"),0,Options!$G10-1)</f>
        <v>213442</v>
      </c>
      <c r="N44" s="274" t="str">
        <f t="shared" ca="1" si="25"/>
        <v>Q2 2016</v>
      </c>
      <c r="O44" s="274"/>
      <c r="P44" s="52">
        <f ca="1">OFFSET(INDIRECT(Options!$J10&amp;"D66"),0,Options!$G10-1)</f>
        <v>5934</v>
      </c>
      <c r="Q44" s="52">
        <f ca="1">OFFSET(INDIRECT(Options!$J10&amp;"I66"),0,(Options!$G10-1)*2)</f>
        <v>5692</v>
      </c>
      <c r="R44" s="52">
        <f ca="1">OFFSET(INDIRECT(Options!$J10&amp;"S66"),0,Options!$G10-1)</f>
        <v>15264</v>
      </c>
      <c r="T44" s="274" t="str">
        <f t="shared" ca="1" si="26"/>
        <v>Q2 2016</v>
      </c>
      <c r="U44" s="274"/>
      <c r="V44" s="52">
        <f ca="1">OFFSET(INDIRECT(Options!$J10&amp;"D67"),0,Options!$G10-1)</f>
        <v>38480</v>
      </c>
      <c r="W44" s="52">
        <f ca="1">OFFSET(INDIRECT(Options!$J10&amp;"I67"),0,(Options!$G10-1)*2)</f>
        <v>32556</v>
      </c>
      <c r="X44" s="52">
        <f ca="1">OFFSET(INDIRECT(Options!$J10&amp;"S67"),0,Options!$G10-1)</f>
        <v>78299</v>
      </c>
      <c r="Z44" s="274" t="str">
        <f t="shared" ca="1" si="27"/>
        <v>Q2 2016</v>
      </c>
      <c r="AA44" s="274"/>
      <c r="AB44" s="52">
        <f ca="1">OFFSET(INDIRECT(Options!$J10&amp;"D68"),0,Options!$G10-1)</f>
        <v>14335</v>
      </c>
      <c r="AC44" s="52">
        <f ca="1">OFFSET(INDIRECT(Options!$J10&amp;"I68"),0,(Options!$G10-1)*2)</f>
        <v>15444</v>
      </c>
      <c r="AD44" s="52">
        <f ca="1">OFFSET(INDIRECT(Options!$J10&amp;"S68"),0,Options!$G10-1)</f>
        <v>55839</v>
      </c>
      <c r="AF44" s="274" t="str">
        <f t="shared" ca="1" si="28"/>
        <v>Q2 2016</v>
      </c>
      <c r="AG44" s="274"/>
      <c r="AH44" s="52">
        <f ca="1">OFFSET(INDIRECT(Options!$J10&amp;"D69"),0,Options!$G10-1)</f>
        <v>40909</v>
      </c>
      <c r="AI44" s="52">
        <f ca="1">OFFSET(INDIRECT(Options!$J10&amp;"I69"),0,(Options!$G10-1)*2)</f>
        <v>47686</v>
      </c>
      <c r="AJ44" s="52">
        <f ca="1">OFFSET(INDIRECT(Options!$J10&amp;"S69"),0,Options!$G10-1)</f>
        <v>89867</v>
      </c>
      <c r="AL44" s="274" t="str">
        <f t="shared" ca="1" si="29"/>
        <v>Q2 2016</v>
      </c>
      <c r="AM44" s="274"/>
      <c r="AN44" s="52">
        <f ca="1">OFFSET(INDIRECT(Options!$J10&amp;"D70"),0,Options!$G10-1)</f>
        <v>123754</v>
      </c>
      <c r="AO44" s="52">
        <f ca="1">OFFSET(INDIRECT(Options!$J10&amp;"I70"),0,(Options!$G10-1)*2)</f>
        <v>115527</v>
      </c>
      <c r="AP44" s="52">
        <f ca="1">OFFSET(INDIRECT(Options!$J10&amp;"S70"),0,Options!$G10-1)</f>
        <v>37557</v>
      </c>
    </row>
    <row r="45" spans="2:54">
      <c r="B45" s="274" t="str">
        <f t="shared" ca="1" si="23"/>
        <v>Q1 2016</v>
      </c>
      <c r="C45" s="274"/>
      <c r="D45" s="52">
        <f ca="1">OFFSET(INDIRECT(Options!$J11&amp;"D64"),0,Options!$G11-1)</f>
        <v>14069</v>
      </c>
      <c r="E45" s="52">
        <f ca="1">OFFSET(INDIRECT(Options!$J11&amp;"I64"),0,(Options!$G11-1)*2)</f>
        <v>14318</v>
      </c>
      <c r="F45" s="52">
        <f ca="1">OFFSET(INDIRECT(Options!$J11&amp;"S64"),0,Options!$G11-1)</f>
        <v>30553</v>
      </c>
      <c r="H45" s="274" t="str">
        <f t="shared" ca="1" si="24"/>
        <v>Q1 2016</v>
      </c>
      <c r="I45" s="274"/>
      <c r="J45" s="52">
        <f ca="1">OFFSET(INDIRECT(Options!$J11&amp;"D65"),0,Options!$G11-1)</f>
        <v>59790</v>
      </c>
      <c r="K45" s="52">
        <f ca="1">OFFSET(INDIRECT(Options!$J11&amp;"I65"),0,(Options!$G11-1)*2)</f>
        <v>69704</v>
      </c>
      <c r="L45" s="52">
        <f ca="1">OFFSET(INDIRECT(Options!$J11&amp;"S65"),0,Options!$G11-1)</f>
        <v>221195</v>
      </c>
      <c r="N45" s="274" t="str">
        <f t="shared" ca="1" si="25"/>
        <v>Q1 2016</v>
      </c>
      <c r="O45" s="274"/>
      <c r="P45" s="52">
        <f ca="1">OFFSET(INDIRECT(Options!$J11&amp;"D66"),0,Options!$G11-1)</f>
        <v>4812</v>
      </c>
      <c r="Q45" s="52">
        <f ca="1">OFFSET(INDIRECT(Options!$J11&amp;"I66"),0,(Options!$G11-1)*2)</f>
        <v>5538</v>
      </c>
      <c r="R45" s="52">
        <f ca="1">OFFSET(INDIRECT(Options!$J11&amp;"S66"),0,Options!$G11-1)</f>
        <v>15020</v>
      </c>
      <c r="T45" s="274" t="str">
        <f t="shared" ca="1" si="26"/>
        <v>Q1 2016</v>
      </c>
      <c r="U45" s="274"/>
      <c r="V45" s="52">
        <f ca="1">OFFSET(INDIRECT(Options!$J11&amp;"D67"),0,Options!$G11-1)</f>
        <v>27031</v>
      </c>
      <c r="W45" s="52">
        <f ca="1">OFFSET(INDIRECT(Options!$J11&amp;"I67"),0,(Options!$G11-1)*2)</f>
        <v>34184</v>
      </c>
      <c r="X45" s="52">
        <f ca="1">OFFSET(INDIRECT(Options!$J11&amp;"S67"),0,Options!$G11-1)</f>
        <v>72314</v>
      </c>
      <c r="Z45" s="274" t="str">
        <f t="shared" ca="1" si="27"/>
        <v>Q1 2016</v>
      </c>
      <c r="AA45" s="274"/>
      <c r="AB45" s="52">
        <f ca="1">OFFSET(INDIRECT(Options!$J11&amp;"D68"),0,Options!$G11-1)</f>
        <v>16302</v>
      </c>
      <c r="AC45" s="52">
        <f ca="1">OFFSET(INDIRECT(Options!$J11&amp;"I68"),0,(Options!$G11-1)*2)</f>
        <v>18290</v>
      </c>
      <c r="AD45" s="52">
        <f ca="1">OFFSET(INDIRECT(Options!$J11&amp;"S68"),0,Options!$G11-1)</f>
        <v>58736</v>
      </c>
      <c r="AF45" s="274" t="str">
        <f t="shared" ca="1" si="28"/>
        <v>Q1 2016</v>
      </c>
      <c r="AG45" s="274"/>
      <c r="AH45" s="52">
        <f ca="1">OFFSET(INDIRECT(Options!$J11&amp;"D69"),0,Options!$G11-1)</f>
        <v>44625</v>
      </c>
      <c r="AI45" s="52">
        <f ca="1">OFFSET(INDIRECT(Options!$J11&amp;"I69"),0,(Options!$G11-1)*2)</f>
        <v>49583</v>
      </c>
      <c r="AJ45" s="52">
        <f ca="1">OFFSET(INDIRECT(Options!$J11&amp;"S69"),0,Options!$G11-1)</f>
        <v>96606</v>
      </c>
      <c r="AL45" s="274" t="str">
        <f t="shared" ca="1" si="29"/>
        <v>Q1 2016</v>
      </c>
      <c r="AM45" s="274"/>
      <c r="AN45" s="52">
        <f ca="1">OFFSET(INDIRECT(Options!$J11&amp;"D70"),0,Options!$G11-1)</f>
        <v>128654</v>
      </c>
      <c r="AO45" s="52">
        <f ca="1">OFFSET(INDIRECT(Options!$J11&amp;"I70"),0,(Options!$G11-1)*2)</f>
        <v>127123</v>
      </c>
      <c r="AP45" s="52">
        <f ca="1">OFFSET(INDIRECT(Options!$J11&amp;"S70"),0,Options!$G11-1)</f>
        <v>33045</v>
      </c>
    </row>
    <row r="46" spans="2:54">
      <c r="B46" s="281"/>
      <c r="C46" s="281"/>
    </row>
    <row r="47" spans="2:54">
      <c r="B47" s="281"/>
      <c r="C47" s="281"/>
    </row>
    <row r="48" spans="2:54">
      <c r="B48" s="281"/>
      <c r="C48" s="281"/>
    </row>
    <row r="49" spans="2:3">
      <c r="B49" s="281"/>
      <c r="C49" s="281"/>
    </row>
    <row r="50" spans="2:3">
      <c r="B50" s="281"/>
      <c r="C50" s="281"/>
    </row>
  </sheetData>
  <sheetProtection selectLockedCells="1"/>
  <mergeCells count="211">
    <mergeCell ref="I4:J4"/>
    <mergeCell ref="G5:H5"/>
    <mergeCell ref="G6:H10"/>
    <mergeCell ref="I6:I10"/>
    <mergeCell ref="J6:J10"/>
    <mergeCell ref="G11:H11"/>
    <mergeCell ref="B11:C11"/>
    <mergeCell ref="B12:C12"/>
    <mergeCell ref="B13:C13"/>
    <mergeCell ref="B4:C4"/>
    <mergeCell ref="D4:E4"/>
    <mergeCell ref="B5:C5"/>
    <mergeCell ref="B6:C10"/>
    <mergeCell ref="D6:D10"/>
    <mergeCell ref="E6:E10"/>
    <mergeCell ref="B2:C2"/>
    <mergeCell ref="B23:C23"/>
    <mergeCell ref="B24:C24"/>
    <mergeCell ref="B25:C29"/>
    <mergeCell ref="D25:D29"/>
    <mergeCell ref="E25:E29"/>
    <mergeCell ref="G12:H12"/>
    <mergeCell ref="G13:H13"/>
    <mergeCell ref="G14:H14"/>
    <mergeCell ref="G15:H15"/>
    <mergeCell ref="G16:H16"/>
    <mergeCell ref="G17:H17"/>
    <mergeCell ref="B17:C17"/>
    <mergeCell ref="B18:C18"/>
    <mergeCell ref="B19:C19"/>
    <mergeCell ref="G4:H4"/>
    <mergeCell ref="B14:C14"/>
    <mergeCell ref="B15:C15"/>
    <mergeCell ref="B16:C16"/>
    <mergeCell ref="B37:C41"/>
    <mergeCell ref="B36:C36"/>
    <mergeCell ref="D23:F23"/>
    <mergeCell ref="F25:F29"/>
    <mergeCell ref="B30:C30"/>
    <mergeCell ref="B31:C31"/>
    <mergeCell ref="B32:C32"/>
    <mergeCell ref="B33:C33"/>
    <mergeCell ref="B34:C34"/>
    <mergeCell ref="B35:C35"/>
    <mergeCell ref="D37:D41"/>
    <mergeCell ref="E37:E41"/>
    <mergeCell ref="F37:F41"/>
    <mergeCell ref="B45:C45"/>
    <mergeCell ref="B46:C46"/>
    <mergeCell ref="B47:C47"/>
    <mergeCell ref="B48:C48"/>
    <mergeCell ref="B49:C49"/>
    <mergeCell ref="B50:C50"/>
    <mergeCell ref="B44:C44"/>
    <mergeCell ref="B43:C43"/>
    <mergeCell ref="B42:C42"/>
    <mergeCell ref="T30:U30"/>
    <mergeCell ref="T31:U31"/>
    <mergeCell ref="T32:U32"/>
    <mergeCell ref="T33:U33"/>
    <mergeCell ref="H30:I30"/>
    <mergeCell ref="H31:I31"/>
    <mergeCell ref="H32:I32"/>
    <mergeCell ref="H33:I33"/>
    <mergeCell ref="N23:O23"/>
    <mergeCell ref="P23:R23"/>
    <mergeCell ref="N24:O24"/>
    <mergeCell ref="N25:O29"/>
    <mergeCell ref="P25:P29"/>
    <mergeCell ref="Q25:Q29"/>
    <mergeCell ref="H23:I23"/>
    <mergeCell ref="J23:L23"/>
    <mergeCell ref="H24:I24"/>
    <mergeCell ref="H25:I29"/>
    <mergeCell ref="J25:J29"/>
    <mergeCell ref="K25:K29"/>
    <mergeCell ref="L25:L29"/>
    <mergeCell ref="R25:R29"/>
    <mergeCell ref="N30:O30"/>
    <mergeCell ref="N31:O31"/>
    <mergeCell ref="Z23:AA23"/>
    <mergeCell ref="AB23:AD23"/>
    <mergeCell ref="Z24:AA24"/>
    <mergeCell ref="Z25:AA29"/>
    <mergeCell ref="AB25:AB29"/>
    <mergeCell ref="AC25:AC29"/>
    <mergeCell ref="AD25:AD29"/>
    <mergeCell ref="V23:X23"/>
    <mergeCell ref="T24:U24"/>
    <mergeCell ref="T25:U29"/>
    <mergeCell ref="V25:V29"/>
    <mergeCell ref="W25:W29"/>
    <mergeCell ref="X25:X29"/>
    <mergeCell ref="T23:U23"/>
    <mergeCell ref="AN23:AP23"/>
    <mergeCell ref="AL24:AM24"/>
    <mergeCell ref="AL25:AM29"/>
    <mergeCell ref="AN25:AN29"/>
    <mergeCell ref="AO25:AO29"/>
    <mergeCell ref="AP25:AP29"/>
    <mergeCell ref="AJ25:AJ29"/>
    <mergeCell ref="AF30:AG30"/>
    <mergeCell ref="AF31:AG31"/>
    <mergeCell ref="AL23:AM23"/>
    <mergeCell ref="AL30:AM30"/>
    <mergeCell ref="AL31:AM31"/>
    <mergeCell ref="AF23:AG23"/>
    <mergeCell ref="AH23:AJ23"/>
    <mergeCell ref="AF24:AG24"/>
    <mergeCell ref="AF25:AG29"/>
    <mergeCell ref="AH25:AH29"/>
    <mergeCell ref="AI25:AI29"/>
    <mergeCell ref="AX23:AY23"/>
    <mergeCell ref="AZ23:BB23"/>
    <mergeCell ref="AX24:AY24"/>
    <mergeCell ref="AX25:AY29"/>
    <mergeCell ref="AZ25:AZ29"/>
    <mergeCell ref="BA25:BA29"/>
    <mergeCell ref="AR23:AS23"/>
    <mergeCell ref="AT23:AV23"/>
    <mergeCell ref="AR24:AS24"/>
    <mergeCell ref="AR25:AS29"/>
    <mergeCell ref="AT25:AT29"/>
    <mergeCell ref="AU25:AU29"/>
    <mergeCell ref="AV25:AV29"/>
    <mergeCell ref="BB25:BB29"/>
    <mergeCell ref="AX30:AY30"/>
    <mergeCell ref="AX31:AY31"/>
    <mergeCell ref="AX32:AY32"/>
    <mergeCell ref="AX33:AY33"/>
    <mergeCell ref="D35:F35"/>
    <mergeCell ref="V35:X35"/>
    <mergeCell ref="Z35:AA35"/>
    <mergeCell ref="AB35:AD35"/>
    <mergeCell ref="AR30:AS30"/>
    <mergeCell ref="AR31:AS31"/>
    <mergeCell ref="AR32:AS32"/>
    <mergeCell ref="AR33:AS33"/>
    <mergeCell ref="AF32:AG32"/>
    <mergeCell ref="AF33:AG33"/>
    <mergeCell ref="AL32:AM32"/>
    <mergeCell ref="AL33:AM33"/>
    <mergeCell ref="Z30:AA30"/>
    <mergeCell ref="Z31:AA31"/>
    <mergeCell ref="Z32:AA32"/>
    <mergeCell ref="Z33:AA33"/>
    <mergeCell ref="AL35:AM35"/>
    <mergeCell ref="AN35:AP35"/>
    <mergeCell ref="N32:O32"/>
    <mergeCell ref="N33:O33"/>
    <mergeCell ref="H35:I35"/>
    <mergeCell ref="J35:L35"/>
    <mergeCell ref="H36:I36"/>
    <mergeCell ref="H37:I41"/>
    <mergeCell ref="J37:J41"/>
    <mergeCell ref="K37:K41"/>
    <mergeCell ref="L37:L41"/>
    <mergeCell ref="N45:O45"/>
    <mergeCell ref="T35:U35"/>
    <mergeCell ref="T36:U36"/>
    <mergeCell ref="T37:U41"/>
    <mergeCell ref="T45:U45"/>
    <mergeCell ref="H42:I42"/>
    <mergeCell ref="H43:I43"/>
    <mergeCell ref="H44:I44"/>
    <mergeCell ref="H45:I45"/>
    <mergeCell ref="N35:O35"/>
    <mergeCell ref="P35:R35"/>
    <mergeCell ref="N36:O36"/>
    <mergeCell ref="N37:O41"/>
    <mergeCell ref="P37:P41"/>
    <mergeCell ref="Q37:Q41"/>
    <mergeCell ref="V37:V41"/>
    <mergeCell ref="W37:W41"/>
    <mergeCell ref="X37:X41"/>
    <mergeCell ref="T42:U42"/>
    <mergeCell ref="T43:U43"/>
    <mergeCell ref="T44:U44"/>
    <mergeCell ref="R37:R41"/>
    <mergeCell ref="N42:O42"/>
    <mergeCell ref="N43:O43"/>
    <mergeCell ref="N44:O44"/>
    <mergeCell ref="AL36:AM36"/>
    <mergeCell ref="AL37:AM41"/>
    <mergeCell ref="AN37:AN41"/>
    <mergeCell ref="AO37:AO41"/>
    <mergeCell ref="Z43:AA43"/>
    <mergeCell ref="Z44:AA44"/>
    <mergeCell ref="Z45:AA45"/>
    <mergeCell ref="AF35:AG35"/>
    <mergeCell ref="AH35:AJ35"/>
    <mergeCell ref="AF36:AG36"/>
    <mergeCell ref="AF37:AG41"/>
    <mergeCell ref="AH37:AH41"/>
    <mergeCell ref="AI37:AI41"/>
    <mergeCell ref="AJ37:AJ41"/>
    <mergeCell ref="Z36:AA36"/>
    <mergeCell ref="Z37:AA41"/>
    <mergeCell ref="AB37:AB41"/>
    <mergeCell ref="AC37:AC41"/>
    <mergeCell ref="AD37:AD41"/>
    <mergeCell ref="Z42:AA42"/>
    <mergeCell ref="AP37:AP41"/>
    <mergeCell ref="AL42:AM42"/>
    <mergeCell ref="AL43:AM43"/>
    <mergeCell ref="AL44:AM44"/>
    <mergeCell ref="AL45:AM45"/>
    <mergeCell ref="AF42:AG42"/>
    <mergeCell ref="AF43:AG43"/>
    <mergeCell ref="AF44:AG44"/>
    <mergeCell ref="AF45:AG45"/>
  </mergeCells>
  <pageMargins left="0.7" right="0.7" top="0.75" bottom="0.75" header="0.3" footer="0.3"/>
  <ignoredErrors>
    <ignoredError sqref="I4 D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25</vt:i4>
      </vt:variant>
    </vt:vector>
  </HeadingPairs>
  <TitlesOfParts>
    <vt:vector size="32" baseType="lpstr">
      <vt:lpstr>Izvori podataka</vt:lpstr>
      <vt:lpstr>Vrste postupaka</vt:lpstr>
      <vt:lpstr>2015</vt:lpstr>
      <vt:lpstr>2016</vt:lpstr>
      <vt:lpstr>Grafovi</vt:lpstr>
      <vt:lpstr>Options</vt:lpstr>
      <vt:lpstr>Translation</vt:lpstr>
      <vt:lpstr>Translation!CEPEJ_Categories</vt:lpstr>
      <vt:lpstr>Translation!Court_Types</vt:lpstr>
      <vt:lpstr>Translation!EU_Adm_lvl1</vt:lpstr>
      <vt:lpstr>Translation!EU_Civ_lvl1</vt:lpstr>
      <vt:lpstr>Translation!EU_Com_lvl1</vt:lpstr>
      <vt:lpstr>Translation!EU_Cri_lvl1</vt:lpstr>
      <vt:lpstr>Translation!EU_Enf_lvl1</vt:lpstr>
      <vt:lpstr>Translation!EU_LR_lvl1</vt:lpstr>
      <vt:lpstr>Translation!EU_lvl0</vt:lpstr>
      <vt:lpstr>Translation!EU_Mis_lvl1</vt:lpstr>
      <vt:lpstr>Translation!National_lvl0</vt:lpstr>
      <vt:lpstr>Translation!National_Op_lvl1</vt:lpstr>
      <vt:lpstr>Translation!National_PS_lvl1</vt:lpstr>
      <vt:lpstr>Translation!National_Trg_lvl1</vt:lpstr>
      <vt:lpstr>Translation!National_US_lvl1</vt:lpstr>
      <vt:lpstr>Translation!National_VPSRH_lvl1</vt:lpstr>
      <vt:lpstr>Translation!National_VSRH_lvl1</vt:lpstr>
      <vt:lpstr>Translation!National_VTSRH_lvl1</vt:lpstr>
      <vt:lpstr>Translation!National_VUSRH_lvl1</vt:lpstr>
      <vt:lpstr>Translation!National_Zu_lvl1</vt:lpstr>
      <vt:lpstr>'2015'!Podrucje_ispisa</vt:lpstr>
      <vt:lpstr>'2016'!Podrucje_ispisa</vt:lpstr>
      <vt:lpstr>Grafovi!Podrucje_ispisa</vt:lpstr>
      <vt:lpstr>'Izvori podataka'!Podrucje_ispisa</vt:lpstr>
      <vt:lpstr>'Vrste postupaka'!Podrucje_ispisa</vt:lpstr>
    </vt:vector>
  </TitlesOfParts>
  <Company>MPRH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Ileković</dc:creator>
  <cp:lastModifiedBy>Korisnik</cp:lastModifiedBy>
  <cp:lastPrinted>2016-10-21T09:05:39Z</cp:lastPrinted>
  <dcterms:created xsi:type="dcterms:W3CDTF">2016-07-04T09:36:25Z</dcterms:created>
  <dcterms:modified xsi:type="dcterms:W3CDTF">2017-01-22T08:39:57Z</dcterms:modified>
</cp:coreProperties>
</file>